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difr\Desktop\CDC\Agriculture\"/>
    </mc:Choice>
  </mc:AlternateContent>
  <bookViews>
    <workbookView xWindow="0" yWindow="0" windowWidth="22716" windowHeight="8352"/>
  </bookViews>
  <sheets>
    <sheet name="DataToExc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0" i="1" l="1"/>
  <c r="K120" i="1"/>
  <c r="I120" i="1"/>
  <c r="A120" i="1"/>
  <c r="R96" i="1"/>
  <c r="K96" i="1"/>
  <c r="I96" i="1"/>
  <c r="A96" i="1"/>
  <c r="R176" i="1"/>
  <c r="K176" i="1"/>
  <c r="I176" i="1"/>
  <c r="A176" i="1"/>
  <c r="R145" i="1"/>
  <c r="K145" i="1"/>
  <c r="I145" i="1"/>
  <c r="A145" i="1"/>
  <c r="R178" i="1"/>
  <c r="K178" i="1"/>
  <c r="I178" i="1"/>
  <c r="A178" i="1"/>
  <c r="R112" i="1"/>
  <c r="K112" i="1"/>
  <c r="I112" i="1"/>
  <c r="A112" i="1"/>
  <c r="R255" i="1"/>
  <c r="K255" i="1"/>
  <c r="I255" i="1"/>
  <c r="A255" i="1"/>
  <c r="R76" i="1"/>
  <c r="K76" i="1"/>
  <c r="I76" i="1"/>
  <c r="A76" i="1"/>
  <c r="R106" i="1"/>
  <c r="K106" i="1"/>
  <c r="I106" i="1"/>
  <c r="A106" i="1"/>
  <c r="R278" i="1"/>
  <c r="K278" i="1"/>
  <c r="I278" i="1"/>
  <c r="A278" i="1"/>
  <c r="R264" i="1"/>
  <c r="K264" i="1"/>
  <c r="I264" i="1"/>
  <c r="A264" i="1"/>
  <c r="R309" i="1"/>
  <c r="K309" i="1"/>
  <c r="I309" i="1"/>
  <c r="A309" i="1"/>
  <c r="R26" i="1"/>
  <c r="K26" i="1"/>
  <c r="I26" i="1"/>
  <c r="A26" i="1"/>
  <c r="R138" i="1"/>
  <c r="K138" i="1"/>
  <c r="I138" i="1"/>
  <c r="A138" i="1"/>
  <c r="R82" i="1"/>
  <c r="K82" i="1"/>
  <c r="I82" i="1"/>
  <c r="A82" i="1"/>
  <c r="R10" i="1"/>
  <c r="K10" i="1"/>
  <c r="I10" i="1"/>
  <c r="A10" i="1"/>
  <c r="R292" i="1"/>
  <c r="K292" i="1"/>
  <c r="I292" i="1"/>
  <c r="A292" i="1"/>
  <c r="R241" i="1"/>
  <c r="K241" i="1"/>
  <c r="I241" i="1"/>
  <c r="A241" i="1"/>
  <c r="R111" i="1"/>
  <c r="K111" i="1"/>
  <c r="I111" i="1"/>
  <c r="A111" i="1"/>
  <c r="R28" i="1"/>
  <c r="K28" i="1"/>
  <c r="I28" i="1"/>
  <c r="A28" i="1"/>
  <c r="R157" i="1"/>
  <c r="K157" i="1"/>
  <c r="I157" i="1"/>
  <c r="A157" i="1"/>
  <c r="R303" i="1"/>
  <c r="K303" i="1"/>
  <c r="I303" i="1"/>
  <c r="A303" i="1"/>
  <c r="R286" i="1"/>
  <c r="K286" i="1"/>
  <c r="I286" i="1"/>
  <c r="A286" i="1"/>
  <c r="R30" i="1"/>
  <c r="K30" i="1"/>
  <c r="I30" i="1"/>
  <c r="A30" i="1"/>
  <c r="R12" i="1"/>
  <c r="K12" i="1"/>
  <c r="I12" i="1"/>
  <c r="A12" i="1"/>
  <c r="R19" i="1"/>
  <c r="K19" i="1"/>
  <c r="I19" i="1"/>
  <c r="A19" i="1"/>
  <c r="R239" i="1"/>
  <c r="K239" i="1"/>
  <c r="I239" i="1"/>
  <c r="A239" i="1"/>
  <c r="R226" i="1"/>
  <c r="K226" i="1"/>
  <c r="I226" i="1"/>
  <c r="A226" i="1"/>
  <c r="R81" i="1"/>
  <c r="K81" i="1"/>
  <c r="I81" i="1"/>
  <c r="A81" i="1"/>
  <c r="R227" i="1"/>
  <c r="K227" i="1"/>
  <c r="I227" i="1"/>
  <c r="A227" i="1"/>
  <c r="R77" i="1"/>
  <c r="K77" i="1"/>
  <c r="I77" i="1"/>
  <c r="A77" i="1"/>
  <c r="R204" i="1"/>
  <c r="K204" i="1"/>
  <c r="I204" i="1"/>
  <c r="A204" i="1"/>
  <c r="R187" i="1"/>
  <c r="K187" i="1"/>
  <c r="I187" i="1"/>
  <c r="A187" i="1"/>
  <c r="R151" i="1"/>
  <c r="K151" i="1"/>
  <c r="I151" i="1"/>
  <c r="A151" i="1"/>
  <c r="R320" i="1"/>
  <c r="K320" i="1"/>
  <c r="I320" i="1"/>
  <c r="A320" i="1"/>
  <c r="R49" i="1"/>
  <c r="K49" i="1"/>
  <c r="I49" i="1"/>
  <c r="A49" i="1"/>
  <c r="R72" i="1"/>
  <c r="K72" i="1"/>
  <c r="I72" i="1"/>
  <c r="A72" i="1"/>
  <c r="R107" i="1"/>
  <c r="K107" i="1"/>
  <c r="I107" i="1"/>
  <c r="A107" i="1"/>
  <c r="R41" i="1"/>
  <c r="K41" i="1"/>
  <c r="I41" i="1"/>
  <c r="A41" i="1"/>
  <c r="R122" i="1"/>
  <c r="K122" i="1"/>
  <c r="I122" i="1"/>
  <c r="A122" i="1"/>
  <c r="R67" i="1"/>
  <c r="K67" i="1"/>
  <c r="I67" i="1"/>
  <c r="A67" i="1"/>
  <c r="R231" i="1"/>
  <c r="K231" i="1"/>
  <c r="I231" i="1"/>
  <c r="A231" i="1"/>
  <c r="R4" i="1"/>
  <c r="K4" i="1"/>
  <c r="I4" i="1"/>
  <c r="A4" i="1"/>
  <c r="R114" i="1"/>
  <c r="K114" i="1"/>
  <c r="I114" i="1"/>
  <c r="A114" i="1"/>
  <c r="R296" i="1"/>
  <c r="K296" i="1"/>
  <c r="I296" i="1"/>
  <c r="A296" i="1"/>
  <c r="R242" i="1"/>
  <c r="K242" i="1"/>
  <c r="I242" i="1"/>
  <c r="A242" i="1"/>
  <c r="R34" i="1"/>
  <c r="K34" i="1"/>
  <c r="I34" i="1"/>
  <c r="A34" i="1"/>
  <c r="R92" i="1"/>
  <c r="K92" i="1"/>
  <c r="I92" i="1"/>
  <c r="A92" i="1"/>
  <c r="R186" i="1"/>
  <c r="K186" i="1"/>
  <c r="I186" i="1"/>
  <c r="A186" i="1"/>
  <c r="R228" i="1"/>
  <c r="K228" i="1"/>
  <c r="I228" i="1"/>
  <c r="A228" i="1"/>
  <c r="R132" i="1"/>
  <c r="K132" i="1"/>
  <c r="I132" i="1"/>
  <c r="A132" i="1"/>
  <c r="R153" i="1"/>
  <c r="K153" i="1"/>
  <c r="I153" i="1"/>
  <c r="A153" i="1"/>
  <c r="R229" i="1"/>
  <c r="K229" i="1"/>
  <c r="I229" i="1"/>
  <c r="A229" i="1"/>
  <c r="R232" i="1"/>
  <c r="K232" i="1"/>
  <c r="I232" i="1"/>
  <c r="A232" i="1"/>
  <c r="R316" i="1"/>
  <c r="K316" i="1"/>
  <c r="I316" i="1"/>
  <c r="A316" i="1"/>
  <c r="R90" i="1"/>
  <c r="K90" i="1"/>
  <c r="I90" i="1"/>
  <c r="A90" i="1"/>
  <c r="R321" i="1"/>
  <c r="K321" i="1"/>
  <c r="I321" i="1"/>
  <c r="A321" i="1"/>
  <c r="R63" i="1"/>
  <c r="K63" i="1"/>
  <c r="I63" i="1"/>
  <c r="A63" i="1"/>
  <c r="R89" i="1"/>
  <c r="K89" i="1"/>
  <c r="I89" i="1"/>
  <c r="A89" i="1"/>
  <c r="R195" i="1"/>
  <c r="K195" i="1"/>
  <c r="I195" i="1"/>
  <c r="A195" i="1"/>
  <c r="R85" i="1"/>
  <c r="K85" i="1"/>
  <c r="I85" i="1"/>
  <c r="A85" i="1"/>
  <c r="R148" i="1"/>
  <c r="K148" i="1"/>
  <c r="I148" i="1"/>
  <c r="A148" i="1"/>
  <c r="R221" i="1"/>
  <c r="K221" i="1"/>
  <c r="I221" i="1"/>
  <c r="A221" i="1"/>
  <c r="R133" i="1"/>
  <c r="K133" i="1"/>
  <c r="I133" i="1"/>
  <c r="A133" i="1"/>
  <c r="R42" i="1"/>
  <c r="K42" i="1"/>
  <c r="I42" i="1"/>
  <c r="A42" i="1"/>
  <c r="R165" i="1"/>
  <c r="K165" i="1"/>
  <c r="I165" i="1"/>
  <c r="A165" i="1"/>
  <c r="R183" i="1"/>
  <c r="K183" i="1"/>
  <c r="I183" i="1"/>
  <c r="A183" i="1"/>
  <c r="R298" i="1"/>
  <c r="K298" i="1"/>
  <c r="I298" i="1"/>
  <c r="A298" i="1"/>
  <c r="R270" i="1"/>
  <c r="K270" i="1"/>
  <c r="I270" i="1"/>
  <c r="A270" i="1"/>
  <c r="R53" i="1"/>
  <c r="K53" i="1"/>
  <c r="I53" i="1"/>
  <c r="A53" i="1"/>
  <c r="R237" i="1"/>
  <c r="K237" i="1"/>
  <c r="I237" i="1"/>
  <c r="A237" i="1"/>
  <c r="R100" i="1"/>
  <c r="K100" i="1"/>
  <c r="I100" i="1"/>
  <c r="A100" i="1"/>
  <c r="R177" i="1"/>
  <c r="K177" i="1"/>
  <c r="I177" i="1"/>
  <c r="A177" i="1"/>
  <c r="R267" i="1"/>
  <c r="K267" i="1"/>
  <c r="I267" i="1"/>
  <c r="A267" i="1"/>
  <c r="R282" i="1"/>
  <c r="K282" i="1"/>
  <c r="I282" i="1"/>
  <c r="A282" i="1"/>
  <c r="R40" i="1"/>
  <c r="K40" i="1"/>
  <c r="I40" i="1"/>
  <c r="A40" i="1"/>
  <c r="R43" i="1"/>
  <c r="K43" i="1"/>
  <c r="I43" i="1"/>
  <c r="A43" i="1"/>
  <c r="R225" i="1"/>
  <c r="K225" i="1"/>
  <c r="I225" i="1"/>
  <c r="A225" i="1"/>
  <c r="R57" i="1"/>
  <c r="K57" i="1"/>
  <c r="I57" i="1"/>
  <c r="A57" i="1"/>
  <c r="R307" i="1"/>
  <c r="K307" i="1"/>
  <c r="I307" i="1"/>
  <c r="A307" i="1"/>
  <c r="R61" i="1"/>
  <c r="K61" i="1"/>
  <c r="I61" i="1"/>
  <c r="A61" i="1"/>
  <c r="R8" i="1"/>
  <c r="K8" i="1"/>
  <c r="I8" i="1"/>
  <c r="A8" i="1"/>
  <c r="R283" i="1"/>
  <c r="K283" i="1"/>
  <c r="I283" i="1"/>
  <c r="A283" i="1"/>
  <c r="R222" i="1"/>
  <c r="K222" i="1"/>
  <c r="I222" i="1"/>
  <c r="A222" i="1"/>
  <c r="R51" i="1"/>
  <c r="K51" i="1"/>
  <c r="I51" i="1"/>
  <c r="A51" i="1"/>
  <c r="R172" i="1"/>
  <c r="K172" i="1"/>
  <c r="I172" i="1"/>
  <c r="A172" i="1"/>
  <c r="R306" i="1"/>
  <c r="K306" i="1"/>
  <c r="I306" i="1"/>
  <c r="A306" i="1"/>
  <c r="R271" i="1"/>
  <c r="K271" i="1"/>
  <c r="I271" i="1"/>
  <c r="A271" i="1"/>
  <c r="R146" i="1"/>
  <c r="K146" i="1"/>
  <c r="I146" i="1"/>
  <c r="A146" i="1"/>
  <c r="R166" i="1"/>
  <c r="K166" i="1"/>
  <c r="I166" i="1"/>
  <c r="A166" i="1"/>
  <c r="R29" i="1"/>
  <c r="K29" i="1"/>
  <c r="I29" i="1"/>
  <c r="A29" i="1"/>
  <c r="R236" i="1"/>
  <c r="K236" i="1"/>
  <c r="I236" i="1"/>
  <c r="A236" i="1"/>
  <c r="R47" i="1"/>
  <c r="K47" i="1"/>
  <c r="I47" i="1"/>
  <c r="A47" i="1"/>
  <c r="R104" i="1"/>
  <c r="K104" i="1"/>
  <c r="I104" i="1"/>
  <c r="A104" i="1"/>
  <c r="R209" i="1"/>
  <c r="K209" i="1"/>
  <c r="I209" i="1"/>
  <c r="A209" i="1"/>
  <c r="R113" i="1"/>
  <c r="K113" i="1"/>
  <c r="I113" i="1"/>
  <c r="A113" i="1"/>
  <c r="R248" i="1"/>
  <c r="K248" i="1"/>
  <c r="I248" i="1"/>
  <c r="A248" i="1"/>
  <c r="R154" i="1"/>
  <c r="K154" i="1"/>
  <c r="I154" i="1"/>
  <c r="A154" i="1"/>
  <c r="R56" i="1"/>
  <c r="K56" i="1"/>
  <c r="I56" i="1"/>
  <c r="A56" i="1"/>
  <c r="R78" i="1"/>
  <c r="K78" i="1"/>
  <c r="I78" i="1"/>
  <c r="A78" i="1"/>
  <c r="R260" i="1"/>
  <c r="K260" i="1"/>
  <c r="I260" i="1"/>
  <c r="A260" i="1"/>
  <c r="R21" i="1"/>
  <c r="K21" i="1"/>
  <c r="I21" i="1"/>
  <c r="A21" i="1"/>
  <c r="R117" i="1"/>
  <c r="K117" i="1"/>
  <c r="I117" i="1"/>
  <c r="A117" i="1"/>
  <c r="R325" i="1"/>
  <c r="K325" i="1"/>
  <c r="I325" i="1"/>
  <c r="A325" i="1"/>
  <c r="R179" i="1"/>
  <c r="K179" i="1"/>
  <c r="I179" i="1"/>
  <c r="A179" i="1"/>
  <c r="R93" i="1"/>
  <c r="K93" i="1"/>
  <c r="I93" i="1"/>
  <c r="A93" i="1"/>
  <c r="R35" i="1"/>
  <c r="K35" i="1"/>
  <c r="I35" i="1"/>
  <c r="A35" i="1"/>
  <c r="R251" i="1"/>
  <c r="K251" i="1"/>
  <c r="I251" i="1"/>
  <c r="A251" i="1"/>
  <c r="R317" i="1"/>
  <c r="K317" i="1"/>
  <c r="I317" i="1"/>
  <c r="A317" i="1"/>
  <c r="R125" i="1"/>
  <c r="K125" i="1"/>
  <c r="I125" i="1"/>
  <c r="A125" i="1"/>
  <c r="R58" i="1"/>
  <c r="K58" i="1"/>
  <c r="I58" i="1"/>
  <c r="A58" i="1"/>
  <c r="R253" i="1"/>
  <c r="K253" i="1"/>
  <c r="I253" i="1"/>
  <c r="A253" i="1"/>
  <c r="R149" i="1"/>
  <c r="K149" i="1"/>
  <c r="I149" i="1"/>
  <c r="A149" i="1"/>
  <c r="R256" i="1"/>
  <c r="K256" i="1"/>
  <c r="I256" i="1"/>
  <c r="A256" i="1"/>
  <c r="R258" i="1"/>
  <c r="K258" i="1"/>
  <c r="I258" i="1"/>
  <c r="A258" i="1"/>
  <c r="R155" i="1"/>
  <c r="K155" i="1"/>
  <c r="I155" i="1"/>
  <c r="A155" i="1"/>
  <c r="R185" i="1"/>
  <c r="K185" i="1"/>
  <c r="I185" i="1"/>
  <c r="A185" i="1"/>
  <c r="R116" i="1"/>
  <c r="K116" i="1"/>
  <c r="I116" i="1"/>
  <c r="A116" i="1"/>
  <c r="R39" i="1"/>
  <c r="K39" i="1"/>
  <c r="I39" i="1"/>
  <c r="A39" i="1"/>
  <c r="R69" i="1"/>
  <c r="K69" i="1"/>
  <c r="I69" i="1"/>
  <c r="A69" i="1"/>
  <c r="R37" i="1"/>
  <c r="K37" i="1"/>
  <c r="I37" i="1"/>
  <c r="A37" i="1"/>
  <c r="R64" i="1"/>
  <c r="K64" i="1"/>
  <c r="I64" i="1"/>
  <c r="A64" i="1"/>
  <c r="R284" i="1"/>
  <c r="K284" i="1"/>
  <c r="I284" i="1"/>
  <c r="A284" i="1"/>
  <c r="R246" i="1"/>
  <c r="K246" i="1"/>
  <c r="I246" i="1"/>
  <c r="A246" i="1"/>
  <c r="R152" i="1"/>
  <c r="K152" i="1"/>
  <c r="I152" i="1"/>
  <c r="A152" i="1"/>
  <c r="R150" i="1"/>
  <c r="K150" i="1"/>
  <c r="I150" i="1"/>
  <c r="A150" i="1"/>
  <c r="R147" i="1"/>
  <c r="K147" i="1"/>
  <c r="I147" i="1"/>
  <c r="A147" i="1"/>
  <c r="R144" i="1"/>
  <c r="K144" i="1"/>
  <c r="I144" i="1"/>
  <c r="A144" i="1"/>
  <c r="R143" i="1"/>
  <c r="K143" i="1"/>
  <c r="I143" i="1"/>
  <c r="A143" i="1"/>
  <c r="R142" i="1"/>
  <c r="K142" i="1"/>
  <c r="I142" i="1"/>
  <c r="A142" i="1"/>
  <c r="R141" i="1"/>
  <c r="K141" i="1"/>
  <c r="I141" i="1"/>
  <c r="A141" i="1"/>
  <c r="R140" i="1"/>
  <c r="K140" i="1"/>
  <c r="I140" i="1"/>
  <c r="A140" i="1"/>
  <c r="R139" i="1"/>
  <c r="K139" i="1"/>
  <c r="I139" i="1"/>
  <c r="A139" i="1"/>
  <c r="R137" i="1"/>
  <c r="K137" i="1"/>
  <c r="I137" i="1"/>
  <c r="A137" i="1"/>
  <c r="R136" i="1"/>
  <c r="K136" i="1"/>
  <c r="I136" i="1"/>
  <c r="A136" i="1"/>
  <c r="R135" i="1"/>
  <c r="K135" i="1"/>
  <c r="I135" i="1"/>
  <c r="A135" i="1"/>
  <c r="R134" i="1"/>
  <c r="K134" i="1"/>
  <c r="I134" i="1"/>
  <c r="A134" i="1"/>
  <c r="R131" i="1"/>
  <c r="K131" i="1"/>
  <c r="I131" i="1"/>
  <c r="A131" i="1"/>
  <c r="R130" i="1"/>
  <c r="K130" i="1"/>
  <c r="I130" i="1"/>
  <c r="A130" i="1"/>
  <c r="R129" i="1"/>
  <c r="K129" i="1"/>
  <c r="I129" i="1"/>
  <c r="A129" i="1"/>
  <c r="R128" i="1"/>
  <c r="K128" i="1"/>
  <c r="I128" i="1"/>
  <c r="A128" i="1"/>
  <c r="R127" i="1"/>
  <c r="K127" i="1"/>
  <c r="I127" i="1"/>
  <c r="A127" i="1"/>
  <c r="R102" i="1"/>
  <c r="K102" i="1"/>
  <c r="I102" i="1"/>
  <c r="A102" i="1"/>
  <c r="R197" i="1"/>
  <c r="K197" i="1"/>
  <c r="I197" i="1"/>
  <c r="A197" i="1"/>
  <c r="R7" i="1"/>
  <c r="K7" i="1"/>
  <c r="I7" i="1"/>
  <c r="A7" i="1"/>
  <c r="R32" i="1"/>
  <c r="K32" i="1"/>
  <c r="I32" i="1"/>
  <c r="A32" i="1"/>
  <c r="R313" i="1"/>
  <c r="K313" i="1"/>
  <c r="I313" i="1"/>
  <c r="A313" i="1"/>
  <c r="R304" i="1"/>
  <c r="K304" i="1"/>
  <c r="I304" i="1"/>
  <c r="A304" i="1"/>
  <c r="R257" i="1"/>
  <c r="K257" i="1"/>
  <c r="I257" i="1"/>
  <c r="A257" i="1"/>
  <c r="R285" i="1"/>
  <c r="K285" i="1"/>
  <c r="I285" i="1"/>
  <c r="A285" i="1"/>
  <c r="R310" i="1"/>
  <c r="K310" i="1"/>
  <c r="I310" i="1"/>
  <c r="A310" i="1"/>
  <c r="R322" i="1"/>
  <c r="K322" i="1"/>
  <c r="I322" i="1"/>
  <c r="A322" i="1"/>
  <c r="R319" i="1"/>
  <c r="K319" i="1"/>
  <c r="I319" i="1"/>
  <c r="A319" i="1"/>
  <c r="R318" i="1"/>
  <c r="K318" i="1"/>
  <c r="I318" i="1"/>
  <c r="A318" i="1"/>
  <c r="R315" i="1"/>
  <c r="K315" i="1"/>
  <c r="I315" i="1"/>
  <c r="A315" i="1"/>
  <c r="R314" i="1"/>
  <c r="K314" i="1"/>
  <c r="I314" i="1"/>
  <c r="A314" i="1"/>
  <c r="R312" i="1"/>
  <c r="K312" i="1"/>
  <c r="I312" i="1"/>
  <c r="A312" i="1"/>
  <c r="R311" i="1"/>
  <c r="K311" i="1"/>
  <c r="I311" i="1"/>
  <c r="A311" i="1"/>
  <c r="R308" i="1"/>
  <c r="K308" i="1"/>
  <c r="I308" i="1"/>
  <c r="A308" i="1"/>
  <c r="R305" i="1"/>
  <c r="K305" i="1"/>
  <c r="I305" i="1"/>
  <c r="A305" i="1"/>
  <c r="R301" i="1"/>
  <c r="K301" i="1"/>
  <c r="I301" i="1"/>
  <c r="A301" i="1"/>
  <c r="R300" i="1"/>
  <c r="K300" i="1"/>
  <c r="I300" i="1"/>
  <c r="A300" i="1"/>
  <c r="R277" i="1"/>
  <c r="K277" i="1"/>
  <c r="I277" i="1"/>
  <c r="A277" i="1"/>
  <c r="R252" i="1"/>
  <c r="K252" i="1"/>
  <c r="I252" i="1"/>
  <c r="A252" i="1"/>
  <c r="R299" i="1"/>
  <c r="K299" i="1"/>
  <c r="I299" i="1"/>
  <c r="A299" i="1"/>
  <c r="R297" i="1"/>
  <c r="K297" i="1"/>
  <c r="I297" i="1"/>
  <c r="A297" i="1"/>
  <c r="R217" i="1"/>
  <c r="K217" i="1"/>
  <c r="I217" i="1"/>
  <c r="A217" i="1"/>
  <c r="R294" i="1"/>
  <c r="K294" i="1"/>
  <c r="I294" i="1"/>
  <c r="A294" i="1"/>
  <c r="R293" i="1"/>
  <c r="K293" i="1"/>
  <c r="I293" i="1"/>
  <c r="A293" i="1"/>
  <c r="R302" i="1"/>
  <c r="K302" i="1"/>
  <c r="I302" i="1"/>
  <c r="A302" i="1"/>
  <c r="R291" i="1"/>
  <c r="K291" i="1"/>
  <c r="I291" i="1"/>
  <c r="A291" i="1"/>
  <c r="R269" i="1"/>
  <c r="K269" i="1"/>
  <c r="I269" i="1"/>
  <c r="A269" i="1"/>
  <c r="R290" i="1"/>
  <c r="K290" i="1"/>
  <c r="I290" i="1"/>
  <c r="A290" i="1"/>
  <c r="R289" i="1"/>
  <c r="K289" i="1"/>
  <c r="I289" i="1"/>
  <c r="A289" i="1"/>
  <c r="R288" i="1"/>
  <c r="K288" i="1"/>
  <c r="I288" i="1"/>
  <c r="A288" i="1"/>
  <c r="R287" i="1"/>
  <c r="K287" i="1"/>
  <c r="I287" i="1"/>
  <c r="A287" i="1"/>
  <c r="R281" i="1"/>
  <c r="K281" i="1"/>
  <c r="I281" i="1"/>
  <c r="A281" i="1"/>
  <c r="R279" i="1"/>
  <c r="K279" i="1"/>
  <c r="I279" i="1"/>
  <c r="A279" i="1"/>
  <c r="R276" i="1"/>
  <c r="K276" i="1"/>
  <c r="I276" i="1"/>
  <c r="A276" i="1"/>
  <c r="R275" i="1"/>
  <c r="K275" i="1"/>
  <c r="I275" i="1"/>
  <c r="A275" i="1"/>
  <c r="R274" i="1"/>
  <c r="K274" i="1"/>
  <c r="I274" i="1"/>
  <c r="A274" i="1"/>
  <c r="R273" i="1"/>
  <c r="K273" i="1"/>
  <c r="I273" i="1"/>
  <c r="A273" i="1"/>
  <c r="R272" i="1"/>
  <c r="K272" i="1"/>
  <c r="I272" i="1"/>
  <c r="A272" i="1"/>
  <c r="R268" i="1"/>
  <c r="K268" i="1"/>
  <c r="I268" i="1"/>
  <c r="A268" i="1"/>
  <c r="R266" i="1"/>
  <c r="K266" i="1"/>
  <c r="I266" i="1"/>
  <c r="A266" i="1"/>
  <c r="R265" i="1"/>
  <c r="K265" i="1"/>
  <c r="I265" i="1"/>
  <c r="A265" i="1"/>
  <c r="R263" i="1"/>
  <c r="K263" i="1"/>
  <c r="I263" i="1"/>
  <c r="A263" i="1"/>
  <c r="R262" i="1"/>
  <c r="K262" i="1"/>
  <c r="I262" i="1"/>
  <c r="A262" i="1"/>
  <c r="R261" i="1"/>
  <c r="K261" i="1"/>
  <c r="I261" i="1"/>
  <c r="A261" i="1"/>
  <c r="R259" i="1"/>
  <c r="K259" i="1"/>
  <c r="I259" i="1"/>
  <c r="A259" i="1"/>
  <c r="R254" i="1"/>
  <c r="K254" i="1"/>
  <c r="I254" i="1"/>
  <c r="A254" i="1"/>
  <c r="R250" i="1"/>
  <c r="K250" i="1"/>
  <c r="I250" i="1"/>
  <c r="A250" i="1"/>
  <c r="R249" i="1"/>
  <c r="K249" i="1"/>
  <c r="I249" i="1"/>
  <c r="A249" i="1"/>
  <c r="R247" i="1"/>
  <c r="K247" i="1"/>
  <c r="I247" i="1"/>
  <c r="A247" i="1"/>
  <c r="R245" i="1"/>
  <c r="K245" i="1"/>
  <c r="I245" i="1"/>
  <c r="A245" i="1"/>
  <c r="R244" i="1"/>
  <c r="K244" i="1"/>
  <c r="I244" i="1"/>
  <c r="A244" i="1"/>
  <c r="R243" i="1"/>
  <c r="K243" i="1"/>
  <c r="I243" i="1"/>
  <c r="A243" i="1"/>
  <c r="R240" i="1"/>
  <c r="K240" i="1"/>
  <c r="I240" i="1"/>
  <c r="A240" i="1"/>
  <c r="R238" i="1"/>
  <c r="K238" i="1"/>
  <c r="I238" i="1"/>
  <c r="A238" i="1"/>
  <c r="R235" i="1"/>
  <c r="K235" i="1"/>
  <c r="I235" i="1"/>
  <c r="A235" i="1"/>
  <c r="R233" i="1"/>
  <c r="K233" i="1"/>
  <c r="I233" i="1"/>
  <c r="A233" i="1"/>
  <c r="R234" i="1"/>
  <c r="K234" i="1"/>
  <c r="I234" i="1"/>
  <c r="A234" i="1"/>
  <c r="R230" i="1"/>
  <c r="K230" i="1"/>
  <c r="I230" i="1"/>
  <c r="A230" i="1"/>
  <c r="R223" i="1"/>
  <c r="K223" i="1"/>
  <c r="I223" i="1"/>
  <c r="A223" i="1"/>
  <c r="R224" i="1"/>
  <c r="K224" i="1"/>
  <c r="I224" i="1"/>
  <c r="A224" i="1"/>
  <c r="R220" i="1"/>
  <c r="K220" i="1"/>
  <c r="I220" i="1"/>
  <c r="A220" i="1"/>
  <c r="R219" i="1"/>
  <c r="K219" i="1"/>
  <c r="I219" i="1"/>
  <c r="A219" i="1"/>
  <c r="R218" i="1"/>
  <c r="K218" i="1"/>
  <c r="I218" i="1"/>
  <c r="A218" i="1"/>
  <c r="R216" i="1"/>
  <c r="K216" i="1"/>
  <c r="I216" i="1"/>
  <c r="A216" i="1"/>
  <c r="R215" i="1"/>
  <c r="K215" i="1"/>
  <c r="I215" i="1"/>
  <c r="A215" i="1"/>
  <c r="R214" i="1"/>
  <c r="K214" i="1"/>
  <c r="I214" i="1"/>
  <c r="A214" i="1"/>
  <c r="R213" i="1"/>
  <c r="K213" i="1"/>
  <c r="I213" i="1"/>
  <c r="A213" i="1"/>
  <c r="R212" i="1"/>
  <c r="K212" i="1"/>
  <c r="I212" i="1"/>
  <c r="A212" i="1"/>
  <c r="R211" i="1"/>
  <c r="K211" i="1"/>
  <c r="I211" i="1"/>
  <c r="A211" i="1"/>
  <c r="R210" i="1"/>
  <c r="K210" i="1"/>
  <c r="I210" i="1"/>
  <c r="A210" i="1"/>
  <c r="R208" i="1"/>
  <c r="K208" i="1"/>
  <c r="I208" i="1"/>
  <c r="A208" i="1"/>
  <c r="R207" i="1"/>
  <c r="K207" i="1"/>
  <c r="I207" i="1"/>
  <c r="A207" i="1"/>
  <c r="R206" i="1"/>
  <c r="K206" i="1"/>
  <c r="I206" i="1"/>
  <c r="A206" i="1"/>
  <c r="R205" i="1"/>
  <c r="K205" i="1"/>
  <c r="I205" i="1"/>
  <c r="A205" i="1"/>
  <c r="R203" i="1"/>
  <c r="K203" i="1"/>
  <c r="I203" i="1"/>
  <c r="A203" i="1"/>
  <c r="R202" i="1"/>
  <c r="K202" i="1"/>
  <c r="I202" i="1"/>
  <c r="A202" i="1"/>
  <c r="R201" i="1"/>
  <c r="K201" i="1"/>
  <c r="I201" i="1"/>
  <c r="A201" i="1"/>
  <c r="R200" i="1"/>
  <c r="K200" i="1"/>
  <c r="I200" i="1"/>
  <c r="A200" i="1"/>
  <c r="R198" i="1"/>
  <c r="K198" i="1"/>
  <c r="I198" i="1"/>
  <c r="A198" i="1"/>
  <c r="R196" i="1"/>
  <c r="K196" i="1"/>
  <c r="I196" i="1"/>
  <c r="A196" i="1"/>
  <c r="R192" i="1"/>
  <c r="K192" i="1"/>
  <c r="I192" i="1"/>
  <c r="A192" i="1"/>
  <c r="R193" i="1"/>
  <c r="K193" i="1"/>
  <c r="I193" i="1"/>
  <c r="A193" i="1"/>
  <c r="R191" i="1"/>
  <c r="K191" i="1"/>
  <c r="I191" i="1"/>
  <c r="A191" i="1"/>
  <c r="R199" i="1"/>
  <c r="K199" i="1"/>
  <c r="I199" i="1"/>
  <c r="A199" i="1"/>
  <c r="R194" i="1"/>
  <c r="K194" i="1"/>
  <c r="I194" i="1"/>
  <c r="A194" i="1"/>
  <c r="R190" i="1"/>
  <c r="K190" i="1"/>
  <c r="I190" i="1"/>
  <c r="A190" i="1"/>
  <c r="R189" i="1"/>
  <c r="K189" i="1"/>
  <c r="I189" i="1"/>
  <c r="A189" i="1"/>
  <c r="R188" i="1"/>
  <c r="K188" i="1"/>
  <c r="I188" i="1"/>
  <c r="A188" i="1"/>
  <c r="R184" i="1"/>
  <c r="K184" i="1"/>
  <c r="I184" i="1"/>
  <c r="A184" i="1"/>
  <c r="R182" i="1"/>
  <c r="K182" i="1"/>
  <c r="I182" i="1"/>
  <c r="A182" i="1"/>
  <c r="R181" i="1"/>
  <c r="K181" i="1"/>
  <c r="I181" i="1"/>
  <c r="A181" i="1"/>
  <c r="R180" i="1"/>
  <c r="K180" i="1"/>
  <c r="I180" i="1"/>
  <c r="A180" i="1"/>
  <c r="R175" i="1"/>
  <c r="K175" i="1"/>
  <c r="I175" i="1"/>
  <c r="A175" i="1"/>
  <c r="R324" i="1"/>
  <c r="K324" i="1"/>
  <c r="I324" i="1"/>
  <c r="A324" i="1"/>
  <c r="R174" i="1"/>
  <c r="K174" i="1"/>
  <c r="I174" i="1"/>
  <c r="A174" i="1"/>
  <c r="R173" i="1"/>
  <c r="K173" i="1"/>
  <c r="I173" i="1"/>
  <c r="A173" i="1"/>
  <c r="R171" i="1"/>
  <c r="K171" i="1"/>
  <c r="I171" i="1"/>
  <c r="A171" i="1"/>
  <c r="R170" i="1"/>
  <c r="K170" i="1"/>
  <c r="I170" i="1"/>
  <c r="A170" i="1"/>
  <c r="R169" i="1"/>
  <c r="K169" i="1"/>
  <c r="I169" i="1"/>
  <c r="A169" i="1"/>
  <c r="R168" i="1"/>
  <c r="K168" i="1"/>
  <c r="I168" i="1"/>
  <c r="A168" i="1"/>
  <c r="R167" i="1"/>
  <c r="K167" i="1"/>
  <c r="I167" i="1"/>
  <c r="A167" i="1"/>
  <c r="R164" i="1"/>
  <c r="K164" i="1"/>
  <c r="I164" i="1"/>
  <c r="A164" i="1"/>
  <c r="R163" i="1"/>
  <c r="K163" i="1"/>
  <c r="I163" i="1"/>
  <c r="A163" i="1"/>
  <c r="R162" i="1"/>
  <c r="K162" i="1"/>
  <c r="I162" i="1"/>
  <c r="A162" i="1"/>
  <c r="R161" i="1"/>
  <c r="K161" i="1"/>
  <c r="I161" i="1"/>
  <c r="A161" i="1"/>
  <c r="R160" i="1"/>
  <c r="K160" i="1"/>
  <c r="I160" i="1"/>
  <c r="A160" i="1"/>
  <c r="R159" i="1"/>
  <c r="K159" i="1"/>
  <c r="I159" i="1"/>
  <c r="A159" i="1"/>
  <c r="R158" i="1"/>
  <c r="K158" i="1"/>
  <c r="I158" i="1"/>
  <c r="A158" i="1"/>
  <c r="R323" i="1"/>
  <c r="K323" i="1"/>
  <c r="I323" i="1"/>
  <c r="A323" i="1"/>
  <c r="R295" i="1"/>
  <c r="K295" i="1"/>
  <c r="I295" i="1"/>
  <c r="A295" i="1"/>
  <c r="R156" i="1"/>
  <c r="K156" i="1"/>
  <c r="I156" i="1"/>
  <c r="A156" i="1"/>
  <c r="R126" i="1"/>
  <c r="K126" i="1"/>
  <c r="I126" i="1"/>
  <c r="A126" i="1"/>
  <c r="R124" i="1"/>
  <c r="K124" i="1"/>
  <c r="I124" i="1"/>
  <c r="A124" i="1"/>
  <c r="R123" i="1"/>
  <c r="K123" i="1"/>
  <c r="I123" i="1"/>
  <c r="A123" i="1"/>
  <c r="R121" i="1"/>
  <c r="K121" i="1"/>
  <c r="I121" i="1"/>
  <c r="A121" i="1"/>
  <c r="R119" i="1"/>
  <c r="K119" i="1"/>
  <c r="I119" i="1"/>
  <c r="A119" i="1"/>
  <c r="R118" i="1"/>
  <c r="K118" i="1"/>
  <c r="I118" i="1"/>
  <c r="A118" i="1"/>
  <c r="R115" i="1"/>
  <c r="K115" i="1"/>
  <c r="I115" i="1"/>
  <c r="A115" i="1"/>
  <c r="R109" i="1"/>
  <c r="K109" i="1"/>
  <c r="I109" i="1"/>
  <c r="A109" i="1"/>
  <c r="R108" i="1"/>
  <c r="K108" i="1"/>
  <c r="I108" i="1"/>
  <c r="A108" i="1"/>
  <c r="R110" i="1"/>
  <c r="K110" i="1"/>
  <c r="I110" i="1"/>
  <c r="A110" i="1"/>
  <c r="R105" i="1"/>
  <c r="K105" i="1"/>
  <c r="I105" i="1"/>
  <c r="A105" i="1"/>
  <c r="R103" i="1"/>
  <c r="K103" i="1"/>
  <c r="I103" i="1"/>
  <c r="A103" i="1"/>
  <c r="R101" i="1"/>
  <c r="K101" i="1"/>
  <c r="I101" i="1"/>
  <c r="A101" i="1"/>
  <c r="R99" i="1"/>
  <c r="K99" i="1"/>
  <c r="I99" i="1"/>
  <c r="A99" i="1"/>
  <c r="R97" i="1"/>
  <c r="K97" i="1"/>
  <c r="I97" i="1"/>
  <c r="A97" i="1"/>
  <c r="R98" i="1"/>
  <c r="K98" i="1"/>
  <c r="I98" i="1"/>
  <c r="A98" i="1"/>
  <c r="R95" i="1"/>
  <c r="K95" i="1"/>
  <c r="I95" i="1"/>
  <c r="A95" i="1"/>
  <c r="R94" i="1"/>
  <c r="K94" i="1"/>
  <c r="I94" i="1"/>
  <c r="A94" i="1"/>
  <c r="R91" i="1"/>
  <c r="K91" i="1"/>
  <c r="I91" i="1"/>
  <c r="A91" i="1"/>
  <c r="R88" i="1"/>
  <c r="K88" i="1"/>
  <c r="I88" i="1"/>
  <c r="A88" i="1"/>
  <c r="R87" i="1"/>
  <c r="K87" i="1"/>
  <c r="I87" i="1"/>
  <c r="A87" i="1"/>
  <c r="R84" i="1"/>
  <c r="K84" i="1"/>
  <c r="I84" i="1"/>
  <c r="A84" i="1"/>
  <c r="R83" i="1"/>
  <c r="K83" i="1"/>
  <c r="I83" i="1"/>
  <c r="A83" i="1"/>
  <c r="R80" i="1"/>
  <c r="K80" i="1"/>
  <c r="I80" i="1"/>
  <c r="A80" i="1"/>
  <c r="R79" i="1"/>
  <c r="K79" i="1"/>
  <c r="I79" i="1"/>
  <c r="A79" i="1"/>
  <c r="R86" i="1"/>
  <c r="K86" i="1"/>
  <c r="I86" i="1"/>
  <c r="A86" i="1"/>
  <c r="R75" i="1"/>
  <c r="K75" i="1"/>
  <c r="I75" i="1"/>
  <c r="A75" i="1"/>
  <c r="R74" i="1"/>
  <c r="K74" i="1"/>
  <c r="I74" i="1"/>
  <c r="A74" i="1"/>
  <c r="R73" i="1"/>
  <c r="K73" i="1"/>
  <c r="I73" i="1"/>
  <c r="A73" i="1"/>
  <c r="R71" i="1"/>
  <c r="K71" i="1"/>
  <c r="I71" i="1"/>
  <c r="A71" i="1"/>
  <c r="R70" i="1"/>
  <c r="K70" i="1"/>
  <c r="I70" i="1"/>
  <c r="A70" i="1"/>
  <c r="R68" i="1"/>
  <c r="K68" i="1"/>
  <c r="I68" i="1"/>
  <c r="A68" i="1"/>
  <c r="R66" i="1"/>
  <c r="K66" i="1"/>
  <c r="I66" i="1"/>
  <c r="A66" i="1"/>
  <c r="R65" i="1"/>
  <c r="K65" i="1"/>
  <c r="I65" i="1"/>
  <c r="A65" i="1"/>
  <c r="R60" i="1"/>
  <c r="K60" i="1"/>
  <c r="I60" i="1"/>
  <c r="A60" i="1"/>
  <c r="R59" i="1"/>
  <c r="K59" i="1"/>
  <c r="I59" i="1"/>
  <c r="A59" i="1"/>
  <c r="R62" i="1"/>
  <c r="K62" i="1"/>
  <c r="I62" i="1"/>
  <c r="A62" i="1"/>
  <c r="R55" i="1"/>
  <c r="K55" i="1"/>
  <c r="I55" i="1"/>
  <c r="A55" i="1"/>
  <c r="R54" i="1"/>
  <c r="K54" i="1"/>
  <c r="I54" i="1"/>
  <c r="A54" i="1"/>
  <c r="R52" i="1"/>
  <c r="K52" i="1"/>
  <c r="I52" i="1"/>
  <c r="A52" i="1"/>
  <c r="R50" i="1"/>
  <c r="K50" i="1"/>
  <c r="I50" i="1"/>
  <c r="A50" i="1"/>
  <c r="R48" i="1"/>
  <c r="K48" i="1"/>
  <c r="I48" i="1"/>
  <c r="A48" i="1"/>
  <c r="R46" i="1"/>
  <c r="K46" i="1"/>
  <c r="I46" i="1"/>
  <c r="A46" i="1"/>
  <c r="R45" i="1"/>
  <c r="K45" i="1"/>
  <c r="I45" i="1"/>
  <c r="A45" i="1"/>
  <c r="R44" i="1"/>
  <c r="K44" i="1"/>
  <c r="I44" i="1"/>
  <c r="A44" i="1"/>
  <c r="R280" i="1"/>
  <c r="K280" i="1"/>
  <c r="I280" i="1"/>
  <c r="A280" i="1"/>
  <c r="R38" i="1"/>
  <c r="K38" i="1"/>
  <c r="I38" i="1"/>
  <c r="A38" i="1"/>
  <c r="R36" i="1"/>
  <c r="K36" i="1"/>
  <c r="I36" i="1"/>
  <c r="A36" i="1"/>
  <c r="R33" i="1"/>
  <c r="K33" i="1"/>
  <c r="I33" i="1"/>
  <c r="A33" i="1"/>
  <c r="R31" i="1"/>
  <c r="K31" i="1"/>
  <c r="I31" i="1"/>
  <c r="A31" i="1"/>
  <c r="R25" i="1"/>
  <c r="K25" i="1"/>
  <c r="I25" i="1"/>
  <c r="A25" i="1"/>
  <c r="R24" i="1"/>
  <c r="K24" i="1"/>
  <c r="I24" i="1"/>
  <c r="A24" i="1"/>
  <c r="R23" i="1"/>
  <c r="K23" i="1"/>
  <c r="I23" i="1"/>
  <c r="A23" i="1"/>
  <c r="R22" i="1"/>
  <c r="K22" i="1"/>
  <c r="I22" i="1"/>
  <c r="A22" i="1"/>
  <c r="R20" i="1"/>
  <c r="K20" i="1"/>
  <c r="I20" i="1"/>
  <c r="A20" i="1"/>
  <c r="R18" i="1"/>
  <c r="K18" i="1"/>
  <c r="I18" i="1"/>
  <c r="A18" i="1"/>
  <c r="R17" i="1"/>
  <c r="K17" i="1"/>
  <c r="I17" i="1"/>
  <c r="A17" i="1"/>
  <c r="R16" i="1"/>
  <c r="K16" i="1"/>
  <c r="I16" i="1"/>
  <c r="A16" i="1"/>
  <c r="R15" i="1"/>
  <c r="K15" i="1"/>
  <c r="I15" i="1"/>
  <c r="A15" i="1"/>
  <c r="R14" i="1"/>
  <c r="K14" i="1"/>
  <c r="I14" i="1"/>
  <c r="A14" i="1"/>
  <c r="R13" i="1"/>
  <c r="K13" i="1"/>
  <c r="I13" i="1"/>
  <c r="A13" i="1"/>
  <c r="R11" i="1"/>
  <c r="K11" i="1"/>
  <c r="I11" i="1"/>
  <c r="A11" i="1"/>
  <c r="R9" i="1"/>
  <c r="K9" i="1"/>
  <c r="I9" i="1"/>
  <c r="A9" i="1"/>
  <c r="R6" i="1"/>
  <c r="K6" i="1"/>
  <c r="I6" i="1"/>
  <c r="A6" i="1"/>
  <c r="R27" i="1"/>
  <c r="K27" i="1"/>
  <c r="I27" i="1"/>
  <c r="A27" i="1"/>
  <c r="R5" i="1"/>
  <c r="K5" i="1"/>
  <c r="I5" i="1"/>
  <c r="A5" i="1"/>
  <c r="R2" i="1"/>
  <c r="K2" i="1"/>
  <c r="I2" i="1"/>
  <c r="A2" i="1"/>
  <c r="R3" i="1"/>
  <c r="K3" i="1"/>
  <c r="I3" i="1"/>
  <c r="A3" i="1"/>
</calcChain>
</file>

<file path=xl/sharedStrings.xml><?xml version="1.0" encoding="utf-8"?>
<sst xmlns="http://schemas.openxmlformats.org/spreadsheetml/2006/main" count="4549" uniqueCount="1955">
  <si>
    <t>Reg Number</t>
  </si>
  <si>
    <t>Owner Business Name</t>
  </si>
  <si>
    <t>Owner First Name</t>
  </si>
  <si>
    <t>Owner Last Name</t>
  </si>
  <si>
    <t>Owner Address Line 1</t>
  </si>
  <si>
    <t>Owner Address Line 2</t>
  </si>
  <si>
    <t>Owner City</t>
  </si>
  <si>
    <t>Owner State</t>
  </si>
  <si>
    <t>Owner Zip Code</t>
  </si>
  <si>
    <t>Owner County</t>
  </si>
  <si>
    <t>Owner Phone</t>
  </si>
  <si>
    <t>Owner Email</t>
  </si>
  <si>
    <t>Premises Name</t>
  </si>
  <si>
    <t>Premises Address Line 1</t>
  </si>
  <si>
    <t>Premises Address Line 2</t>
  </si>
  <si>
    <t>Premises City</t>
  </si>
  <si>
    <t>Premises State</t>
  </si>
  <si>
    <t>Premises Zip</t>
  </si>
  <si>
    <t>Premises County</t>
  </si>
  <si>
    <t>Registration Exp Date</t>
  </si>
  <si>
    <t>Registration Type</t>
  </si>
  <si>
    <t>A 2nd Chance Pet Adoptions</t>
  </si>
  <si>
    <t>Mary Jane</t>
  </si>
  <si>
    <t>Espelage</t>
  </si>
  <si>
    <t>1765 Zion Ln</t>
  </si>
  <si>
    <t>Hillsboro</t>
  </si>
  <si>
    <t>OH</t>
  </si>
  <si>
    <t>HIGHLAND</t>
  </si>
  <si>
    <t>mjespelage@yahoo.com</t>
  </si>
  <si>
    <t>Animal Rescue for Dogs</t>
  </si>
  <si>
    <t>911 Dog Rescue</t>
  </si>
  <si>
    <t>Amy</t>
  </si>
  <si>
    <t>Beam</t>
  </si>
  <si>
    <t>33915 Roberts Road</t>
  </si>
  <si>
    <t>Eastlake</t>
  </si>
  <si>
    <t>LAKE</t>
  </si>
  <si>
    <t>amysadoptables@yahoo.com</t>
  </si>
  <si>
    <t>A New Leash on Life Rescue</t>
  </si>
  <si>
    <t>Andrea</t>
  </si>
  <si>
    <t>Schultheis</t>
  </si>
  <si>
    <t>25315 Clubside Dr</t>
  </si>
  <si>
    <t>#6</t>
  </si>
  <si>
    <t>North Olmsted</t>
  </si>
  <si>
    <t>CUYAHOGA</t>
  </si>
  <si>
    <t>newleashrescue@gmail.com</t>
  </si>
  <si>
    <t>North Olmstead</t>
  </si>
  <si>
    <t>Animals Depend on People Too! A.D.O.P.T.Pet Rescue</t>
  </si>
  <si>
    <t>Pam</t>
  </si>
  <si>
    <t>Goldberg</t>
  </si>
  <si>
    <t>PO Box 1861</t>
  </si>
  <si>
    <t>Westerville</t>
  </si>
  <si>
    <t>DELAWARE</t>
  </si>
  <si>
    <t>adopt@adoptpetrescue.org</t>
  </si>
  <si>
    <t>Adopt A Pit Rescue</t>
  </si>
  <si>
    <t>Kirsten</t>
  </si>
  <si>
    <t>Knight</t>
  </si>
  <si>
    <t>PO Box 137</t>
  </si>
  <si>
    <t>Germantown</t>
  </si>
  <si>
    <t>MONTGOMERY</t>
  </si>
  <si>
    <t>admin@adoptapitrescue.org</t>
  </si>
  <si>
    <t>Akita Owners Rescue Foundation</t>
  </si>
  <si>
    <t>Deanna</t>
  </si>
  <si>
    <t>Obrien</t>
  </si>
  <si>
    <t>6538 N Nordica Ave</t>
  </si>
  <si>
    <t>Chicago</t>
  </si>
  <si>
    <t>IL</t>
  </si>
  <si>
    <t>COOK</t>
  </si>
  <si>
    <t>marsakita@sbcglobal.net</t>
  </si>
  <si>
    <t>Midwest Akita Rescue Society</t>
  </si>
  <si>
    <t>345 Claridon Rd</t>
  </si>
  <si>
    <t>Chardon</t>
  </si>
  <si>
    <t>GEAUGA</t>
  </si>
  <si>
    <t>All Species Adoption Program</t>
  </si>
  <si>
    <t>Tami</t>
  </si>
  <si>
    <t>Schmidt</t>
  </si>
  <si>
    <t>15628 Twp Hwy 42</t>
  </si>
  <si>
    <t>Carey</t>
  </si>
  <si>
    <t>WYANDOT</t>
  </si>
  <si>
    <t>info@asaprescue.org</t>
  </si>
  <si>
    <t>Almost Home Dog Rescue of Ohio</t>
  </si>
  <si>
    <t>Cheryl</t>
  </si>
  <si>
    <t>Rakich</t>
  </si>
  <si>
    <t>4672 Aberdeen Ave</t>
  </si>
  <si>
    <t>Dublin</t>
  </si>
  <si>
    <t>crakich4@gmail.com</t>
  </si>
  <si>
    <t>American Belgian Malinois Rescue</t>
  </si>
  <si>
    <t>Kitty</t>
  </si>
  <si>
    <t>Pursley</t>
  </si>
  <si>
    <t>4421 Deep Creek Road</t>
  </si>
  <si>
    <t>Manhattan</t>
  </si>
  <si>
    <t>KS</t>
  </si>
  <si>
    <t>RILEY</t>
  </si>
  <si>
    <t>kitty.pursley@gmail.com</t>
  </si>
  <si>
    <t>American Black &amp; Tan Coonhound Rescue Inc</t>
  </si>
  <si>
    <t>Molly</t>
  </si>
  <si>
    <t>Smith</t>
  </si>
  <si>
    <t>2102 45th Street NE</t>
  </si>
  <si>
    <t>Canton</t>
  </si>
  <si>
    <t>STARK</t>
  </si>
  <si>
    <t>mmad0929@aol.com</t>
  </si>
  <si>
    <t>American Bouvier Rescue League</t>
  </si>
  <si>
    <t>Marcia</t>
  </si>
  <si>
    <t>Proud</t>
  </si>
  <si>
    <t>9016 NW 143rd Street</t>
  </si>
  <si>
    <t>Alachua</t>
  </si>
  <si>
    <t>FL</t>
  </si>
  <si>
    <t>ALACHUA</t>
  </si>
  <si>
    <t>natlcoord@abrl.org</t>
  </si>
  <si>
    <t>American Cavalier King Charles Spaniel Rescue Trus</t>
  </si>
  <si>
    <t>Stephen</t>
  </si>
  <si>
    <t>Wallis</t>
  </si>
  <si>
    <t>6000 High Bluff Ct</t>
  </si>
  <si>
    <t>Raleigh</t>
  </si>
  <si>
    <t>NC</t>
  </si>
  <si>
    <t>WAKE</t>
  </si>
  <si>
    <t>walliss463@gmail.com</t>
  </si>
  <si>
    <t>Animal Charity of Ohio</t>
  </si>
  <si>
    <t>Deborah</t>
  </si>
  <si>
    <t>Bednar</t>
  </si>
  <si>
    <t>4140 Market St</t>
  </si>
  <si>
    <t>Youngstown</t>
  </si>
  <si>
    <t>MAHONING</t>
  </si>
  <si>
    <t>acoofohio@gmail.com</t>
  </si>
  <si>
    <t>525 W Main St</t>
  </si>
  <si>
    <t>Canfield</t>
  </si>
  <si>
    <t>Animal House Rescue</t>
  </si>
  <si>
    <t>Nancy</t>
  </si>
  <si>
    <t>Romanczuk</t>
  </si>
  <si>
    <t>PO Box 264</t>
  </si>
  <si>
    <t>Wauseon</t>
  </si>
  <si>
    <t>FULTON</t>
  </si>
  <si>
    <t>animalhouserescu@aol.com</t>
  </si>
  <si>
    <t>254 Vine Street</t>
  </si>
  <si>
    <t>Animal Protection League of Mercer County</t>
  </si>
  <si>
    <t>Kathryn</t>
  </si>
  <si>
    <t>Moorman</t>
  </si>
  <si>
    <t>PO Box 663</t>
  </si>
  <si>
    <t>Celina</t>
  </si>
  <si>
    <t>MERCER</t>
  </si>
  <si>
    <t>info@aplmercer.com</t>
  </si>
  <si>
    <t>Animal Rescue Center</t>
  </si>
  <si>
    <t>Nadine</t>
  </si>
  <si>
    <t>Bechtel</t>
  </si>
  <si>
    <t>36370 Vine St</t>
  </si>
  <si>
    <t>AnimalRescueCenter@yahoo.com</t>
  </si>
  <si>
    <t>Animal Rescue Fund Inc</t>
  </si>
  <si>
    <t>Peggy</t>
  </si>
  <si>
    <t>Lyle</t>
  </si>
  <si>
    <t>85 Lucy Run Rd</t>
  </si>
  <si>
    <t>Amelia</t>
  </si>
  <si>
    <t>CLERMONT</t>
  </si>
  <si>
    <t>Animal Rescue Fund</t>
  </si>
  <si>
    <t>Animal Resource Foundation</t>
  </si>
  <si>
    <t>Evelyn</t>
  </si>
  <si>
    <t>Johnson</t>
  </si>
  <si>
    <t>PO Box 22</t>
  </si>
  <si>
    <t>St. Marys</t>
  </si>
  <si>
    <t>AUGLAIZE</t>
  </si>
  <si>
    <t>arfwestcentralohio@gmail.com</t>
  </si>
  <si>
    <t>Australian Cattle Dog Rescue Association</t>
  </si>
  <si>
    <t>Christy</t>
  </si>
  <si>
    <t>R</t>
  </si>
  <si>
    <t>Hammerman</t>
  </si>
  <si>
    <t>139 McClure Rd</t>
  </si>
  <si>
    <t>Cheswick</t>
  </si>
  <si>
    <t>PA</t>
  </si>
  <si>
    <t>ALLEGHENY</t>
  </si>
  <si>
    <t>treasurer@acdra.org</t>
  </si>
  <si>
    <t>Barely Used Pets Inc</t>
  </si>
  <si>
    <t>Connie</t>
  </si>
  <si>
    <t>467 N Dugan Rd</t>
  </si>
  <si>
    <t>Urbana</t>
  </si>
  <si>
    <t>CHAMPAIGN</t>
  </si>
  <si>
    <t>barelyusedpets@yahoo.com</t>
  </si>
  <si>
    <t>844 Jackson Hill</t>
  </si>
  <si>
    <t>Beagles rrrrrrr Us Inc</t>
  </si>
  <si>
    <t>Elizabeth</t>
  </si>
  <si>
    <t>Benzinger</t>
  </si>
  <si>
    <t>2400 State Route 56 NW</t>
  </si>
  <si>
    <t>London</t>
  </si>
  <si>
    <t>MADISON</t>
  </si>
  <si>
    <t>ebenzinger@beaglesrus.org</t>
  </si>
  <si>
    <t>Berea Animal Rescue</t>
  </si>
  <si>
    <t>Fischer</t>
  </si>
  <si>
    <t>390 Barrett Rd</t>
  </si>
  <si>
    <t>Berea</t>
  </si>
  <si>
    <t>arfsheltermanagement@gmail.com</t>
  </si>
  <si>
    <t>Snow Drive Snow Dogs LLC</t>
  </si>
  <si>
    <t>Susan &amp; Todd</t>
  </si>
  <si>
    <t>Buchanan</t>
  </si>
  <si>
    <t>6005 Deyo Rd</t>
  </si>
  <si>
    <t>PO Box 224</t>
  </si>
  <si>
    <t>Castalia</t>
  </si>
  <si>
    <t>ERIE</t>
  </si>
  <si>
    <t>sprintfive5@aol.com</t>
  </si>
  <si>
    <t>Buchanan, Susan &amp; Todd</t>
  </si>
  <si>
    <t>300 Snow Drive</t>
  </si>
  <si>
    <t>Buckeye Border Collie Rescue</t>
  </si>
  <si>
    <t>Wanda</t>
  </si>
  <si>
    <t>Heyman</t>
  </si>
  <si>
    <t>PO Box 375</t>
  </si>
  <si>
    <t>Tiffin</t>
  </si>
  <si>
    <t>SENECA</t>
  </si>
  <si>
    <t>lassie9@bright.net</t>
  </si>
  <si>
    <t>3514 W Township Road 152</t>
  </si>
  <si>
    <t>Buckeye Bulldog Rescue</t>
  </si>
  <si>
    <t>Jessica</t>
  </si>
  <si>
    <t>Potting</t>
  </si>
  <si>
    <t>PO Box 641</t>
  </si>
  <si>
    <t>Grove City</t>
  </si>
  <si>
    <t>FRANKLIN</t>
  </si>
  <si>
    <t>info@buckeyebulldogrescue.org</t>
  </si>
  <si>
    <t>Buckeye Samoyed Rescue</t>
  </si>
  <si>
    <t>Baluch</t>
  </si>
  <si>
    <t>10333 Northfield Rd</t>
  </si>
  <si>
    <t>Unit 36</t>
  </si>
  <si>
    <t>Northfield</t>
  </si>
  <si>
    <t>SUMMIT</t>
  </si>
  <si>
    <t>rewarddog@yahoo.com</t>
  </si>
  <si>
    <t>7700 Macedonia</t>
  </si>
  <si>
    <t>Oakwood Village</t>
  </si>
  <si>
    <t>Bullmastiff Rescuers Inc</t>
  </si>
  <si>
    <t>Kelly</t>
  </si>
  <si>
    <t>PO BOX 16</t>
  </si>
  <si>
    <t>Pottersville</t>
  </si>
  <si>
    <t>NJ</t>
  </si>
  <si>
    <t>HUNTERDON</t>
  </si>
  <si>
    <t>brinc2@verizon.net</t>
  </si>
  <si>
    <t>PO Box 16</t>
  </si>
  <si>
    <t>Camelot Puppy Sanctuary</t>
  </si>
  <si>
    <t>Stephanie</t>
  </si>
  <si>
    <t>Veadelis</t>
  </si>
  <si>
    <t>27696 Locust Grove Rd</t>
  </si>
  <si>
    <t>McArthur</t>
  </si>
  <si>
    <t>VINTON</t>
  </si>
  <si>
    <t>camelotpups@gmail.com</t>
  </si>
  <si>
    <t>Canine Lifeline Inc</t>
  </si>
  <si>
    <t>Hulett</t>
  </si>
  <si>
    <t>PO Box 25742</t>
  </si>
  <si>
    <t>Garfield Heights</t>
  </si>
  <si>
    <t>info@caninelifeline.org</t>
  </si>
  <si>
    <t>5163 State Route 82</t>
  </si>
  <si>
    <t>Manuta</t>
  </si>
  <si>
    <t>PORTAGE</t>
  </si>
  <si>
    <t>Central Ohio Greyhound Rescue Inc</t>
  </si>
  <si>
    <t>Julie</t>
  </si>
  <si>
    <t>Dzielawa</t>
  </si>
  <si>
    <t>PO Box 460</t>
  </si>
  <si>
    <t>adopt@centralohiogreyhound.org</t>
  </si>
  <si>
    <t>Central Ohio Sheltie Rescue, Inc</t>
  </si>
  <si>
    <t>Penny</t>
  </si>
  <si>
    <t>Sanderback</t>
  </si>
  <si>
    <t>PO Box 13072</t>
  </si>
  <si>
    <t>Columbus</t>
  </si>
  <si>
    <t>cenohsheltieresc@aol.com</t>
  </si>
  <si>
    <t>Central Ohio Sheltie Rescue</t>
  </si>
  <si>
    <t>Citizens for Humane Action Inc.</t>
  </si>
  <si>
    <t>Kelsey</t>
  </si>
  <si>
    <t>Smucker</t>
  </si>
  <si>
    <t>3765 Corporate Dr</t>
  </si>
  <si>
    <t>adopt@chaanimalshelter.org</t>
  </si>
  <si>
    <t>3765 Corporate Drive</t>
  </si>
  <si>
    <t>Cherished Cockers Inc</t>
  </si>
  <si>
    <t>Dennis</t>
  </si>
  <si>
    <t>Bacon</t>
  </si>
  <si>
    <t>8216 Rushton Dr</t>
  </si>
  <si>
    <t>Mentor</t>
  </si>
  <si>
    <t>CherishedCockersRescue@gmail.com</t>
  </si>
  <si>
    <t>Cherokee Farm and Rescue</t>
  </si>
  <si>
    <t>David</t>
  </si>
  <si>
    <t>Baughman</t>
  </si>
  <si>
    <t>7356 County Road 183</t>
  </si>
  <si>
    <t>Fredericktown</t>
  </si>
  <si>
    <t>MORROW</t>
  </si>
  <si>
    <t>theladyofthehouse43019@gmail.com</t>
  </si>
  <si>
    <t>Columbus Cocker Rescue</t>
  </si>
  <si>
    <t>Barbara</t>
  </si>
  <si>
    <t>Legens</t>
  </si>
  <si>
    <t>PO Box 715</t>
  </si>
  <si>
    <t>New Albany</t>
  </si>
  <si>
    <t>barb@columbuscockerrescue.org</t>
  </si>
  <si>
    <t>Columbus Dog Connection</t>
  </si>
  <si>
    <t>Kellie</t>
  </si>
  <si>
    <t>DiFrischia</t>
  </si>
  <si>
    <t>2761 Johnstown Rd</t>
  </si>
  <si>
    <t>kdifrischia@gmail.com</t>
  </si>
  <si>
    <t>Corgi Rescue of Dayton</t>
  </si>
  <si>
    <t>Carolyn</t>
  </si>
  <si>
    <t>Brickner</t>
  </si>
  <si>
    <t>5006 Tewkesbury Dr</t>
  </si>
  <si>
    <t>Huber Heights</t>
  </si>
  <si>
    <t>cbrickner5006@gmail.com</t>
  </si>
  <si>
    <t>Country Dog Rescue</t>
  </si>
  <si>
    <t>Beth</t>
  </si>
  <si>
    <t>260 E Plane St</t>
  </si>
  <si>
    <t>Bethel</t>
  </si>
  <si>
    <t>BethJohnson1955@yahoo.com</t>
  </si>
  <si>
    <t>Crookers Critters Animal Rescue</t>
  </si>
  <si>
    <t>Jennifer</t>
  </si>
  <si>
    <t>Crooker</t>
  </si>
  <si>
    <t>PO Box 194</t>
  </si>
  <si>
    <t>Russellville</t>
  </si>
  <si>
    <t>BROWN</t>
  </si>
  <si>
    <t>crookerscritters@aol.com</t>
  </si>
  <si>
    <t>118 East Main St</t>
  </si>
  <si>
    <t>Dachshund Rescue of Ohio, Inc</t>
  </si>
  <si>
    <t>Evelyn Kathleen</t>
  </si>
  <si>
    <t>Winter</t>
  </si>
  <si>
    <t>3214 Oregonia Rd</t>
  </si>
  <si>
    <t>Lebanon</t>
  </si>
  <si>
    <t>WARREN</t>
  </si>
  <si>
    <t>Danielle's Animal Safe Haven D.A.S.H.</t>
  </si>
  <si>
    <t>Danielle</t>
  </si>
  <si>
    <t>Tourtellot</t>
  </si>
  <si>
    <t>13525 Hoover Rd</t>
  </si>
  <si>
    <t>Ashville</t>
  </si>
  <si>
    <t>PICKAWAY</t>
  </si>
  <si>
    <t>dashrescue00@gmail.com</t>
  </si>
  <si>
    <t>Debsdogs</t>
  </si>
  <si>
    <t>DEBBIE</t>
  </si>
  <si>
    <t>HELSER</t>
  </si>
  <si>
    <t>1560 Wonderlick Rd</t>
  </si>
  <si>
    <t>Lima</t>
  </si>
  <si>
    <t>ALLEN</t>
  </si>
  <si>
    <t>dah3844@hotmail.com</t>
  </si>
  <si>
    <t>DREAM</t>
  </si>
  <si>
    <t>Cindy</t>
  </si>
  <si>
    <t>Hartnagel</t>
  </si>
  <si>
    <t>PO Box 322</t>
  </si>
  <si>
    <t>Tipp City</t>
  </si>
  <si>
    <t>MIAMI</t>
  </si>
  <si>
    <t>petsrrpassion@gmail.com</t>
  </si>
  <si>
    <t>Doggie Detour</t>
  </si>
  <si>
    <t>Eileen</t>
  </si>
  <si>
    <t>Otworth</t>
  </si>
  <si>
    <t>4624 Co Hwy 182</t>
  </si>
  <si>
    <t>Upper Sandusky</t>
  </si>
  <si>
    <t>doggiedetour@gmail.com</t>
  </si>
  <si>
    <t>Doggone Adoptions Inc</t>
  </si>
  <si>
    <t>Robinson</t>
  </si>
  <si>
    <t>PO BOX 161</t>
  </si>
  <si>
    <t>Piqua</t>
  </si>
  <si>
    <t>doggoneadoptionsoh@yahoo.com</t>
  </si>
  <si>
    <t>6265 E SR 55</t>
  </si>
  <si>
    <t>Casstown</t>
  </si>
  <si>
    <t>Dogs Unlimited Rescue</t>
  </si>
  <si>
    <t>KERI &amp; MARTIN</t>
  </si>
  <si>
    <t>SYPNIEWSKI</t>
  </si>
  <si>
    <t>15115 REGENT'S WAY</t>
  </si>
  <si>
    <t>CHARDON</t>
  </si>
  <si>
    <t>gmbella@sbcglobal.net</t>
  </si>
  <si>
    <t>23205 Mercantile Rd</t>
  </si>
  <si>
    <t>Beachwood</t>
  </si>
  <si>
    <t>Dogworks Inc</t>
  </si>
  <si>
    <t>Aaron</t>
  </si>
  <si>
    <t>Miller</t>
  </si>
  <si>
    <t>PO Box 5402</t>
  </si>
  <si>
    <t>Toledo</t>
  </si>
  <si>
    <t>LUCAS</t>
  </si>
  <si>
    <t>president@dogworksohio.com</t>
  </si>
  <si>
    <t>Echo Dogs White Shepherd Rescue Inc</t>
  </si>
  <si>
    <t>Terry</t>
  </si>
  <si>
    <t>Demag</t>
  </si>
  <si>
    <t>PO Box 95705</t>
  </si>
  <si>
    <t>Hoffman Estate</t>
  </si>
  <si>
    <t>info@echodogs.org</t>
  </si>
  <si>
    <t>English Springer Rescue America</t>
  </si>
  <si>
    <t>Angela</t>
  </si>
  <si>
    <t>Mesarchik</t>
  </si>
  <si>
    <t>1738 Lone Prairie Drive</t>
  </si>
  <si>
    <t>Powell</t>
  </si>
  <si>
    <t>akmesarchik@gmail.com</t>
  </si>
  <si>
    <t>FIDO's Companion Rescue Inc</t>
  </si>
  <si>
    <t>Michelle</t>
  </si>
  <si>
    <t>Reichlin</t>
  </si>
  <si>
    <t>PO Box 518</t>
  </si>
  <si>
    <t>Avon</t>
  </si>
  <si>
    <t>LORAIN</t>
  </si>
  <si>
    <t>mreichlin@roadrunner.com</t>
  </si>
  <si>
    <t>For The Love of Pits</t>
  </si>
  <si>
    <t>Shana</t>
  </si>
  <si>
    <t>Klein</t>
  </si>
  <si>
    <t>PO Box 19292</t>
  </si>
  <si>
    <t>Cleveland</t>
  </si>
  <si>
    <t>shana@fortheloveofpits.org</t>
  </si>
  <si>
    <t>Forever Friends Foundation</t>
  </si>
  <si>
    <t>Linda</t>
  </si>
  <si>
    <t>Bellomy</t>
  </si>
  <si>
    <t>PO Box 670903</t>
  </si>
  <si>
    <t>foreverfriendsfoundation@yahoo.com</t>
  </si>
  <si>
    <t>12005 Maple Leaf</t>
  </si>
  <si>
    <t>Garfield Hts.</t>
  </si>
  <si>
    <t>Forget-Me-Knot Rescue Inc</t>
  </si>
  <si>
    <t>Sandra</t>
  </si>
  <si>
    <t>Denman</t>
  </si>
  <si>
    <t>PO Box 501</t>
  </si>
  <si>
    <t>Parkman</t>
  </si>
  <si>
    <t>forget-me-knot@earthlink.net</t>
  </si>
  <si>
    <t>Forget Me Not Animal Rescue Inc</t>
  </si>
  <si>
    <t>Gina</t>
  </si>
  <si>
    <t>Lallo</t>
  </si>
  <si>
    <t>PO Box 360573</t>
  </si>
  <si>
    <t>Strongsville</t>
  </si>
  <si>
    <t>ginalallo@aol.com</t>
  </si>
  <si>
    <t>13338 Boston Rd</t>
  </si>
  <si>
    <t>Freedom Greyhound Rescue, Inc</t>
  </si>
  <si>
    <t>Hilinski</t>
  </si>
  <si>
    <t>PO Box 912</t>
  </si>
  <si>
    <t>Aurora</t>
  </si>
  <si>
    <t>rescue1.fgr@gmail.com</t>
  </si>
  <si>
    <t>10810 Robert Ln</t>
  </si>
  <si>
    <t>Auburn Twp</t>
  </si>
  <si>
    <t>Friends of The Shelter Dogs</t>
  </si>
  <si>
    <t>Marishka</t>
  </si>
  <si>
    <t>Wile</t>
  </si>
  <si>
    <t>PO Box 576</t>
  </si>
  <si>
    <t>Athens</t>
  </si>
  <si>
    <t>ATHENS</t>
  </si>
  <si>
    <t>FOSDinfo@gmail.com</t>
  </si>
  <si>
    <t>From Heaven to Earth Animal Rescue Inc</t>
  </si>
  <si>
    <t>Paul</t>
  </si>
  <si>
    <t>Feldman</t>
  </si>
  <si>
    <t>499 Dietrich Dr SE</t>
  </si>
  <si>
    <t>New Philadelphia</t>
  </si>
  <si>
    <t>TUSCARAWAS</t>
  </si>
  <si>
    <t>h2erescue@gmail.com</t>
  </si>
  <si>
    <t>5499 Oldtown Valley Rd</t>
  </si>
  <si>
    <t>Geaugua Humane Society's Rescue Village</t>
  </si>
  <si>
    <t>Cory</t>
  </si>
  <si>
    <t>Griffin</t>
  </si>
  <si>
    <t>15463 Chillicothe Rd</t>
  </si>
  <si>
    <t>Novelty</t>
  </si>
  <si>
    <t>business@geaugahumane.org</t>
  </si>
  <si>
    <t>Griffin, Cory</t>
  </si>
  <si>
    <t>Golden Retriever Rescue Resource</t>
  </si>
  <si>
    <t>Gheres</t>
  </si>
  <si>
    <t>PO Box 57</t>
  </si>
  <si>
    <t>Waterville</t>
  </si>
  <si>
    <t>grrradoption@yahoo.com</t>
  </si>
  <si>
    <t>Golden Retreiver In Need Rescue Service Inc</t>
  </si>
  <si>
    <t>Lisa</t>
  </si>
  <si>
    <t>Kime</t>
  </si>
  <si>
    <t>PO Box 24365</t>
  </si>
  <si>
    <t>president@grinrescue.org</t>
  </si>
  <si>
    <t>Golden Retriever Rescue &amp; Adoption of Needy Dogs</t>
  </si>
  <si>
    <t>Patti</t>
  </si>
  <si>
    <t>Sacra</t>
  </si>
  <si>
    <t>PO Box 6132</t>
  </si>
  <si>
    <t>Louisville</t>
  </si>
  <si>
    <t>JEFFERSON</t>
  </si>
  <si>
    <t>info@grrand.org</t>
  </si>
  <si>
    <t>7924 Vinecrest Ave</t>
  </si>
  <si>
    <t>KY</t>
  </si>
  <si>
    <t>Great Lakes Border Collie Rescue</t>
  </si>
  <si>
    <t>Patricia</t>
  </si>
  <si>
    <t>Raymond</t>
  </si>
  <si>
    <t>11648 W Grand River Hwy</t>
  </si>
  <si>
    <t>Eagle</t>
  </si>
  <si>
    <t>MI</t>
  </si>
  <si>
    <t>CLINTON</t>
  </si>
  <si>
    <t>my2bcs@voyager.net</t>
  </si>
  <si>
    <t>Greater Dayton Labrador Retriever Rescue</t>
  </si>
  <si>
    <t>RHONDA</t>
  </si>
  <si>
    <t>CAIN</t>
  </si>
  <si>
    <t>375 BAKER ST</t>
  </si>
  <si>
    <t>BROOKVILLE</t>
  </si>
  <si>
    <t>labanddaneresqr@gmail.com</t>
  </si>
  <si>
    <t>375 Baker St</t>
  </si>
  <si>
    <t>Brookville</t>
  </si>
  <si>
    <t>Greyhound Adoption of Greater Cincinnati</t>
  </si>
  <si>
    <t>Robert</t>
  </si>
  <si>
    <t>PO Box 54578</t>
  </si>
  <si>
    <t>Cincinnati</t>
  </si>
  <si>
    <t>HAMILTON</t>
  </si>
  <si>
    <t>gagcgreyhound@gmail.com</t>
  </si>
  <si>
    <t>Guardians 4 Paws</t>
  </si>
  <si>
    <t>Vickie</t>
  </si>
  <si>
    <t>Ferrara</t>
  </si>
  <si>
    <t>13500 Pearl Rd</t>
  </si>
  <si>
    <t>Ste 139 Box 330</t>
  </si>
  <si>
    <t>Hand Me Down Dobes Inc</t>
  </si>
  <si>
    <t>Donald</t>
  </si>
  <si>
    <t>Teffner</t>
  </si>
  <si>
    <t>PO Box 12325</t>
  </si>
  <si>
    <t>beth@hmdd.org</t>
  </si>
  <si>
    <t>Happy Tails of Central Ohio</t>
  </si>
  <si>
    <t>Meadows</t>
  </si>
  <si>
    <t>8001 Currier Road</t>
  </si>
  <si>
    <t>Plain City</t>
  </si>
  <si>
    <t>UNION</t>
  </si>
  <si>
    <t>happytailsofcentralohio@gmail.com</t>
  </si>
  <si>
    <t>Harlequin Haven Great Dane Rescue</t>
  </si>
  <si>
    <t>Dale</t>
  </si>
  <si>
    <t>Bath</t>
  </si>
  <si>
    <t>11567 SR 774</t>
  </si>
  <si>
    <t>info@hhdane.com</t>
  </si>
  <si>
    <t>Kaleidoscope K9's</t>
  </si>
  <si>
    <t>Kathy</t>
  </si>
  <si>
    <t>Dills</t>
  </si>
  <si>
    <t>5600 Greenwich Road</t>
  </si>
  <si>
    <t>Seville</t>
  </si>
  <si>
    <t>MEDINA</t>
  </si>
  <si>
    <t>kaleidoscopek9s@gmail.com</t>
  </si>
  <si>
    <t>The Kennels</t>
  </si>
  <si>
    <t>Rosalia</t>
  </si>
  <si>
    <t>McKimm</t>
  </si>
  <si>
    <t>9159 SR 120</t>
  </si>
  <si>
    <t>Lyons</t>
  </si>
  <si>
    <t>Kim</t>
  </si>
  <si>
    <t>Gaffney</t>
  </si>
  <si>
    <t>7650 Witherspoon</t>
  </si>
  <si>
    <t>Baltimore</t>
  </si>
  <si>
    <t>FAIRFIELD</t>
  </si>
  <si>
    <t>kgaffney@columbus.rr.com</t>
  </si>
  <si>
    <t>Gaffney, Kim</t>
  </si>
  <si>
    <t>Lagoon Rd Dog Rescue</t>
  </si>
  <si>
    <t>Joseph</t>
  </si>
  <si>
    <t>Wilson</t>
  </si>
  <si>
    <t>29064 Lagoon Rd</t>
  </si>
  <si>
    <t>Middleport</t>
  </si>
  <si>
    <t>MEIGS</t>
  </si>
  <si>
    <t>joebob061945@gmail.com</t>
  </si>
  <si>
    <t>Lake Erie Labrador Retriever Rescue, Inc</t>
  </si>
  <si>
    <t>Schindler</t>
  </si>
  <si>
    <t>PO Box 135</t>
  </si>
  <si>
    <t>lisa@lelrr.org</t>
  </si>
  <si>
    <t>League for Animal Welfare</t>
  </si>
  <si>
    <t>Rhonda</t>
  </si>
  <si>
    <t>Kidd</t>
  </si>
  <si>
    <t>4193 Taylor Road</t>
  </si>
  <si>
    <t>Batavia</t>
  </si>
  <si>
    <t>info@lfaw.org</t>
  </si>
  <si>
    <t>Least of These Dog Rescue</t>
  </si>
  <si>
    <t>Shirley</t>
  </si>
  <si>
    <t>Searles</t>
  </si>
  <si>
    <t>51102 Betts</t>
  </si>
  <si>
    <t>Wellington</t>
  </si>
  <si>
    <t>cabin@ncwcom.com</t>
  </si>
  <si>
    <t>Legacy Dog Rescue Of Ohio</t>
  </si>
  <si>
    <t>Blase</t>
  </si>
  <si>
    <t>Bush, Jr</t>
  </si>
  <si>
    <t>PO Box 3643</t>
  </si>
  <si>
    <t>legacy_blase@aol.com</t>
  </si>
  <si>
    <t>Licking County Humane Society</t>
  </si>
  <si>
    <t>Lori</t>
  </si>
  <si>
    <t>Carlson</t>
  </si>
  <si>
    <t>825 Thornwood Dr</t>
  </si>
  <si>
    <t>Heath</t>
  </si>
  <si>
    <t>LICKING</t>
  </si>
  <si>
    <t>info@LCHSpets.org</t>
  </si>
  <si>
    <t>Little Yorkie Rescue</t>
  </si>
  <si>
    <t>Donna</t>
  </si>
  <si>
    <t>Rickard</t>
  </si>
  <si>
    <t>1308 Douglas Ct</t>
  </si>
  <si>
    <t>Lorain</t>
  </si>
  <si>
    <t>littleyorkierescue@yahoo.com</t>
  </si>
  <si>
    <t>Louie's Legacy Animal Rescue Inc</t>
  </si>
  <si>
    <t>Emily</t>
  </si>
  <si>
    <t>Gear</t>
  </si>
  <si>
    <t>4725 Boomer Road</t>
  </si>
  <si>
    <t>emily@louieslegacy.org</t>
  </si>
  <si>
    <t>Louisville Weimaraner Rescue Inc</t>
  </si>
  <si>
    <t>Denise</t>
  </si>
  <si>
    <t>King</t>
  </si>
  <si>
    <t>16810 Hwy 62</t>
  </si>
  <si>
    <t>Charlestown</t>
  </si>
  <si>
    <t>IN</t>
  </si>
  <si>
    <t>CLARK</t>
  </si>
  <si>
    <t>rescue@louisvilleweimrescue.com</t>
  </si>
  <si>
    <t>Love-A-Stray Rescue</t>
  </si>
  <si>
    <t>Field</t>
  </si>
  <si>
    <t>5529 French Creek Road</t>
  </si>
  <si>
    <t>Sheffield Village</t>
  </si>
  <si>
    <t>info@loveastraydog.com</t>
  </si>
  <si>
    <t>Lucas County Pit Crew</t>
  </si>
  <si>
    <t>Jean</t>
  </si>
  <si>
    <t>Keating</t>
  </si>
  <si>
    <t>855 N McCord</t>
  </si>
  <si>
    <t>canineadvocate1@yahoo.com</t>
  </si>
  <si>
    <t>Luv 4 K9s</t>
  </si>
  <si>
    <t>Melody</t>
  </si>
  <si>
    <t>Brackney</t>
  </si>
  <si>
    <t>PO Box 10586</t>
  </si>
  <si>
    <t>Dayton</t>
  </si>
  <si>
    <t>melodybrackney@hotmail.com</t>
  </si>
  <si>
    <t>9811 Post Town Rd</t>
  </si>
  <si>
    <t>Maple Hill Farm Toy Breed Rescue LLC</t>
  </si>
  <si>
    <t>Dawn</t>
  </si>
  <si>
    <t>Porter</t>
  </si>
  <si>
    <t>17582 Mishey Rd</t>
  </si>
  <si>
    <t>Butler</t>
  </si>
  <si>
    <t>KNOX</t>
  </si>
  <si>
    <t>daporter_44822@yahoo.com</t>
  </si>
  <si>
    <t>Marilyn's Voice Inc</t>
  </si>
  <si>
    <t>Kristina</t>
  </si>
  <si>
    <t>Brondolillo</t>
  </si>
  <si>
    <t>PO Box 282</t>
  </si>
  <si>
    <t>contact@marilynsvoice.org</t>
  </si>
  <si>
    <t>Marty</t>
  </si>
  <si>
    <t>Conklin</t>
  </si>
  <si>
    <t>9228 Briarbrook Dr NE</t>
  </si>
  <si>
    <t>Warren</t>
  </si>
  <si>
    <t>TRUMBULL</t>
  </si>
  <si>
    <t>marty.conklin@gmail.com</t>
  </si>
  <si>
    <t>Conklin, Marty A</t>
  </si>
  <si>
    <t>Mastiffs To Mutts</t>
  </si>
  <si>
    <t>Peg</t>
  </si>
  <si>
    <t>Bernoit</t>
  </si>
  <si>
    <t>3974 Edenville Rd</t>
  </si>
  <si>
    <t>Chambersburg</t>
  </si>
  <si>
    <t>mastiffstomutts@gmail.com</t>
  </si>
  <si>
    <t>Mercy's Door Pet Rescue Inc</t>
  </si>
  <si>
    <t>Kristin</t>
  </si>
  <si>
    <t>Fussner</t>
  </si>
  <si>
    <t>587 US 250 N</t>
  </si>
  <si>
    <t>Greenwich</t>
  </si>
  <si>
    <t>ASHLAND</t>
  </si>
  <si>
    <t>info@mercysdoorpetrescue.org</t>
  </si>
  <si>
    <t>Miami Valley Pit Crew</t>
  </si>
  <si>
    <t>Colletle</t>
  </si>
  <si>
    <t>Jordan</t>
  </si>
  <si>
    <t>3625 Lisbon St</t>
  </si>
  <si>
    <t>Kettering</t>
  </si>
  <si>
    <t>collette4mvpc@gmail.com</t>
  </si>
  <si>
    <t>Midwest Boston Terrier Rescue</t>
  </si>
  <si>
    <t>Kimberly</t>
  </si>
  <si>
    <t>Rossbach</t>
  </si>
  <si>
    <t>882 Olde Farm Ct</t>
  </si>
  <si>
    <t>Vandalia</t>
  </si>
  <si>
    <t>kim.rossbach123@gmail.com</t>
  </si>
  <si>
    <t>Multiple Breed Rescue</t>
  </si>
  <si>
    <t>Hunt</t>
  </si>
  <si>
    <t>37305 Royalton Rd</t>
  </si>
  <si>
    <t>Grafton</t>
  </si>
  <si>
    <t>multiplebreedrescue@gmail.com</t>
  </si>
  <si>
    <t>Mutts in a Rut</t>
  </si>
  <si>
    <t>Anna</t>
  </si>
  <si>
    <t>Merriman</t>
  </si>
  <si>
    <t>PO Box 111335</t>
  </si>
  <si>
    <t>muttsinarutrescue@gmail.com</t>
  </si>
  <si>
    <t>4117 Rocky River Dr</t>
  </si>
  <si>
    <t>My Pack of Wolves Sanctuary</t>
  </si>
  <si>
    <t>Shannen</t>
  </si>
  <si>
    <t>Stitt</t>
  </si>
  <si>
    <t>16667 Thompson Rd</t>
  </si>
  <si>
    <t>Thompson</t>
  </si>
  <si>
    <t>shannenstitt@mypackofwolvessanctuary.org</t>
  </si>
  <si>
    <t>My Young &amp; Old Fur Babies Rescue Inc</t>
  </si>
  <si>
    <t>Vicki</t>
  </si>
  <si>
    <t>Groves</t>
  </si>
  <si>
    <t>40275 State Route 255</t>
  </si>
  <si>
    <t>Woodsfield</t>
  </si>
  <si>
    <t>MONROE</t>
  </si>
  <si>
    <t>myofbrescue@hotmail.com</t>
  </si>
  <si>
    <t>My Young &amp; Old Fur Babies Rescue</t>
  </si>
  <si>
    <t>40275 SR 255</t>
  </si>
  <si>
    <t>Woodfield</t>
  </si>
  <si>
    <t>NE Ohio Greyhound Rescue Inc</t>
  </si>
  <si>
    <t>Duane</t>
  </si>
  <si>
    <t>Jackson</t>
  </si>
  <si>
    <t>905 Mechanicsville Rd</t>
  </si>
  <si>
    <t>Geneva</t>
  </si>
  <si>
    <t>ASHTABULA</t>
  </si>
  <si>
    <t>info@neogreyhound.com</t>
  </si>
  <si>
    <t>Northeast Ohio Collie Rescue</t>
  </si>
  <si>
    <t>Thomas</t>
  </si>
  <si>
    <t>Hoadley</t>
  </si>
  <si>
    <t>PO Box 1594</t>
  </si>
  <si>
    <t>Elyria</t>
  </si>
  <si>
    <t>info@neocr.org</t>
  </si>
  <si>
    <t>National Brittany Rescue &amp; Adoption Network</t>
  </si>
  <si>
    <t>Gaye</t>
  </si>
  <si>
    <t>Bricker</t>
  </si>
  <si>
    <t>1139 Pin Oak Dr</t>
  </si>
  <si>
    <t>Kent</t>
  </si>
  <si>
    <t>beaubritt2@aol.com</t>
  </si>
  <si>
    <t>National Great Pyrenees Rescue</t>
  </si>
  <si>
    <t>Mattson</t>
  </si>
  <si>
    <t>PO Box 214</t>
  </si>
  <si>
    <t>Maplecrest</t>
  </si>
  <si>
    <t>NY</t>
  </si>
  <si>
    <t>GREENE</t>
  </si>
  <si>
    <t>bmattson@nationalpyr.org</t>
  </si>
  <si>
    <t>3945 E National Road</t>
  </si>
  <si>
    <t>Springfield</t>
  </si>
  <si>
    <t>National Brussels Griffon Rescue, Inc</t>
  </si>
  <si>
    <t>Felicia</t>
  </si>
  <si>
    <t>Cashin</t>
  </si>
  <si>
    <t>6144 Preston Creek Drive</t>
  </si>
  <si>
    <t>Dallas</t>
  </si>
  <si>
    <t>TX</t>
  </si>
  <si>
    <t>DALLAS</t>
  </si>
  <si>
    <t>conniel@andell.com</t>
  </si>
  <si>
    <t>New Spirit 4 Aussie Rescue</t>
  </si>
  <si>
    <t>Charlene</t>
  </si>
  <si>
    <t>Stocker</t>
  </si>
  <si>
    <t>124 Bonnie Ln</t>
  </si>
  <si>
    <t>Collegeville</t>
  </si>
  <si>
    <t>meredevice@hotmail.com</t>
  </si>
  <si>
    <t>896 E Foster Maineville Rd</t>
  </si>
  <si>
    <t>Maineville</t>
  </si>
  <si>
    <t>North Coast Greyhound Connection</t>
  </si>
  <si>
    <t>William</t>
  </si>
  <si>
    <t>Taylor</t>
  </si>
  <si>
    <t>1027 Richland Street</t>
  </si>
  <si>
    <t>Maumee</t>
  </si>
  <si>
    <t>hgrimm@outlook.com</t>
  </si>
  <si>
    <t>Northeast Ohio Labrador Retriever Rescue LLC</t>
  </si>
  <si>
    <t>Paula</t>
  </si>
  <si>
    <t>Carella</t>
  </si>
  <si>
    <t>5580 Gault Rd</t>
  </si>
  <si>
    <t>North Jackson</t>
  </si>
  <si>
    <t>dcpress@cboss.com</t>
  </si>
  <si>
    <t>Northeast Ohio Shetland Sheepdog Rescue Inc</t>
  </si>
  <si>
    <t>Hazelett</t>
  </si>
  <si>
    <t>7028 Newton Falls Rd</t>
  </si>
  <si>
    <t>Ravenna</t>
  </si>
  <si>
    <t>sheltiequeen1@yahoo.com</t>
  </si>
  <si>
    <t>OAIC Inc Indian Summer Border Collie Rescue</t>
  </si>
  <si>
    <t>Victoria</t>
  </si>
  <si>
    <t>Summers</t>
  </si>
  <si>
    <t>2550 Fox Ave SE</t>
  </si>
  <si>
    <t>Minerva</t>
  </si>
  <si>
    <t>animaltalker1@juno.com</t>
  </si>
  <si>
    <t>Oasis Animal Shelter</t>
  </si>
  <si>
    <t>Vera</t>
  </si>
  <si>
    <t>Opel</t>
  </si>
  <si>
    <t>44881 US RT 20</t>
  </si>
  <si>
    <t>Oberlin</t>
  </si>
  <si>
    <t>oasisanimal@wmconnect.com</t>
  </si>
  <si>
    <t>Ohio Cattle Dog Rescue Team</t>
  </si>
  <si>
    <t>Corene</t>
  </si>
  <si>
    <t>Kandel</t>
  </si>
  <si>
    <t>12427 Eby Rd</t>
  </si>
  <si>
    <t>Creston</t>
  </si>
  <si>
    <t>WAYNE</t>
  </si>
  <si>
    <t>info@ocdrescueteam.org</t>
  </si>
  <si>
    <t>Ohio Fuzzy Pawz Shihtzu Rescue</t>
  </si>
  <si>
    <t>Allen</t>
  </si>
  <si>
    <t>PO Box 356</t>
  </si>
  <si>
    <t>Pataskala</t>
  </si>
  <si>
    <t>dawn.allen@ohiofuzzypawz.org</t>
  </si>
  <si>
    <t>Ohio Greyhound Gathering &amp; Adoption Inc</t>
  </si>
  <si>
    <t>Wendy</t>
  </si>
  <si>
    <t>Eaton</t>
  </si>
  <si>
    <t>3116 Pinevale Ave</t>
  </si>
  <si>
    <t>wnr4hounds@att.net</t>
  </si>
  <si>
    <t>Ohio Hound Rescue Inc</t>
  </si>
  <si>
    <t>Lucy</t>
  </si>
  <si>
    <t>Betts</t>
  </si>
  <si>
    <t>3687 Kendall Ave</t>
  </si>
  <si>
    <t>llrb123@aol.com</t>
  </si>
  <si>
    <t>Ohio Labrador Retriever Rescue Services</t>
  </si>
  <si>
    <t>Ison</t>
  </si>
  <si>
    <t>1235 Wilhelmina Dr</t>
  </si>
  <si>
    <t>luvalabrador2010@yahoo.com</t>
  </si>
  <si>
    <t>Ohio Pug Rescue Inc</t>
  </si>
  <si>
    <t>Marla</t>
  </si>
  <si>
    <t>Walsh</t>
  </si>
  <si>
    <t>3825 Strack Rd</t>
  </si>
  <si>
    <t>polarursa@yahoo.com</t>
  </si>
  <si>
    <t>Ohio Rottweiler Rescue Inc</t>
  </si>
  <si>
    <t>Gayla</t>
  </si>
  <si>
    <t>Frances-Evans</t>
  </si>
  <si>
    <t>2135 State Route 61</t>
  </si>
  <si>
    <t>Sunbury</t>
  </si>
  <si>
    <t>rottrod2@aol.com</t>
  </si>
  <si>
    <t>Ohio Valley Pembroke Welsh Corgi Club Rescue</t>
  </si>
  <si>
    <t>Kathleen</t>
  </si>
  <si>
    <t>Shannon</t>
  </si>
  <si>
    <t>5175 Dry Run Rd</t>
  </si>
  <si>
    <t>Milford</t>
  </si>
  <si>
    <t>wyndfal@fuse.net</t>
  </si>
  <si>
    <t>Open Arms Pound Rescue Inc</t>
  </si>
  <si>
    <t>Bollenbacher</t>
  </si>
  <si>
    <t>1224 Jill Ave</t>
  </si>
  <si>
    <t>openarmsrescue@yahoo.com</t>
  </si>
  <si>
    <t>Operation Warm &amp; Cozy Inc</t>
  </si>
  <si>
    <t>Tripodi</t>
  </si>
  <si>
    <t>437 Esther Ct NW</t>
  </si>
  <si>
    <t>New Philadephia</t>
  </si>
  <si>
    <t>julie@operationwarmncozy.com</t>
  </si>
  <si>
    <t>437 Esther Court NW</t>
  </si>
  <si>
    <t>Our English Setter Rescue</t>
  </si>
  <si>
    <t>Jane</t>
  </si>
  <si>
    <t>Cobb</t>
  </si>
  <si>
    <t>PO Box 708</t>
  </si>
  <si>
    <t>Hilliard</t>
  </si>
  <si>
    <t>info@oesr.org</t>
  </si>
  <si>
    <t>Painted Acres Animal Rescue</t>
  </si>
  <si>
    <t>Booth</t>
  </si>
  <si>
    <t>PO Box 245</t>
  </si>
  <si>
    <t>Zaleski</t>
  </si>
  <si>
    <t>vcpoundrescue2000@yahoo.com</t>
  </si>
  <si>
    <t>68649 Dutch Ln</t>
  </si>
  <si>
    <t>PapAdopters &amp; Placement Service Inc</t>
  </si>
  <si>
    <t>Tregoe</t>
  </si>
  <si>
    <t>PO Box 1232</t>
  </si>
  <si>
    <t>Glen Burnie</t>
  </si>
  <si>
    <t>MD</t>
  </si>
  <si>
    <t>ANNE ARUNDEL</t>
  </si>
  <si>
    <t>info@papadopters.com</t>
  </si>
  <si>
    <t>Parma Animal Shelter</t>
  </si>
  <si>
    <t>Bolling</t>
  </si>
  <si>
    <t>6260 State Rd</t>
  </si>
  <si>
    <t>Parma</t>
  </si>
  <si>
    <t>carolrini1820@yahoo.com</t>
  </si>
  <si>
    <t>Bolling, Jean</t>
  </si>
  <si>
    <t>Paws Awhile Animal Shelter Inc</t>
  </si>
  <si>
    <t>Diana</t>
  </si>
  <si>
    <t>Sweeney</t>
  </si>
  <si>
    <t>PO Box 493</t>
  </si>
  <si>
    <t>Hopedale</t>
  </si>
  <si>
    <t>HARRISON</t>
  </si>
  <si>
    <t>jjsweeney@windstream.net</t>
  </si>
  <si>
    <t>105 W Main Street</t>
  </si>
  <si>
    <t>Paws and Prayers</t>
  </si>
  <si>
    <t>Michaelene</t>
  </si>
  <si>
    <t>1407 Main St</t>
  </si>
  <si>
    <t>Ste A</t>
  </si>
  <si>
    <t>Cuyahoga Falls</t>
  </si>
  <si>
    <t>micki@pawsandprayers.org</t>
  </si>
  <si>
    <t>Peace For Paws Ohio</t>
  </si>
  <si>
    <t>Scholl</t>
  </si>
  <si>
    <t>PO Box 1343</t>
  </si>
  <si>
    <t>info@peaceforpawsohio.org</t>
  </si>
  <si>
    <t>PetPromise</t>
  </si>
  <si>
    <t>Bull</t>
  </si>
  <si>
    <t>PO Box 14802</t>
  </si>
  <si>
    <t>pets@petpromise.org</t>
  </si>
  <si>
    <t>Pet ResQ Ohio</t>
  </si>
  <si>
    <t>Pilger</t>
  </si>
  <si>
    <t>341 Nebraska Ave</t>
  </si>
  <si>
    <t>petresqoh@gmail.com</t>
  </si>
  <si>
    <t>Pets Without Parents Columbus</t>
  </si>
  <si>
    <t>Klavinger</t>
  </si>
  <si>
    <t>629 Oakland Park Ave</t>
  </si>
  <si>
    <t>pets@petswithoutparents.net</t>
  </si>
  <si>
    <t>629 Oakland Park</t>
  </si>
  <si>
    <t>Planned Pethood Inc</t>
  </si>
  <si>
    <t>Colleen</t>
  </si>
  <si>
    <t>Kane</t>
  </si>
  <si>
    <t>PO Box 350908</t>
  </si>
  <si>
    <t>treasurer@plannedpethood.org</t>
  </si>
  <si>
    <t>Powell Animal Welfare Society, Inc</t>
  </si>
  <si>
    <t>Burgess</t>
  </si>
  <si>
    <t>PO Box 211</t>
  </si>
  <si>
    <t>contactus@powellpaws.org</t>
  </si>
  <si>
    <t>Puppy Pals Rescue Inc</t>
  </si>
  <si>
    <t>Klopfenstein</t>
  </si>
  <si>
    <t>850 Southford Ave</t>
  </si>
  <si>
    <t>daytondweller@gmail.com</t>
  </si>
  <si>
    <t>Purebred Rescue Organization of Ohio</t>
  </si>
  <si>
    <t>Judy</t>
  </si>
  <si>
    <t>Charles</t>
  </si>
  <si>
    <t>PO Box 88</t>
  </si>
  <si>
    <t>Bellbrook</t>
  </si>
  <si>
    <t>purebredrescue@onebox.com</t>
  </si>
  <si>
    <t>1580 SR 56 SW</t>
  </si>
  <si>
    <t>Purrfect Diamonds in the Ruff Inc</t>
  </si>
  <si>
    <t>Bala</t>
  </si>
  <si>
    <t>PO Box 22336</t>
  </si>
  <si>
    <t>Akron</t>
  </si>
  <si>
    <t>kathy@purrfectdiamondsintheruff.org</t>
  </si>
  <si>
    <t>R.E.A.L. Rott Rescue</t>
  </si>
  <si>
    <t>Sabrina</t>
  </si>
  <si>
    <t>Katsais</t>
  </si>
  <si>
    <t>423 State Route 42</t>
  </si>
  <si>
    <t>Polk</t>
  </si>
  <si>
    <t>rottrsq@frontier.com</t>
  </si>
  <si>
    <t>Recycled Doggies Inc</t>
  </si>
  <si>
    <t>DeBra</t>
  </si>
  <si>
    <t>PO Box 498311</t>
  </si>
  <si>
    <t>recycleddoggies@gmail.com</t>
  </si>
  <si>
    <t>Rescue Ohio English Bulldogs</t>
  </si>
  <si>
    <t>Karen</t>
  </si>
  <si>
    <t>Hilberg</t>
  </si>
  <si>
    <t>PO Box 360662</t>
  </si>
  <si>
    <t>rescueohioEB@gmail.com</t>
  </si>
  <si>
    <t>Roses Rescue</t>
  </si>
  <si>
    <t>Roseanne</t>
  </si>
  <si>
    <t>Sachs</t>
  </si>
  <si>
    <t>4312 Industry Road</t>
  </si>
  <si>
    <t>Rootstown</t>
  </si>
  <si>
    <t>rsachs@neo.rr.com</t>
  </si>
  <si>
    <t>Safe Harbor Schnauzer Rescue</t>
  </si>
  <si>
    <t>Dave</t>
  </si>
  <si>
    <t>Stepanek</t>
  </si>
  <si>
    <t>1111 Fulton St</t>
  </si>
  <si>
    <t>Port Clinton</t>
  </si>
  <si>
    <t>OTTAWA</t>
  </si>
  <si>
    <t>MYDOGGIERESCUE@GMAIL.COM</t>
  </si>
  <si>
    <t>Saints Elsewhere Inc</t>
  </si>
  <si>
    <t>Kish</t>
  </si>
  <si>
    <t>550 Commerce Park Blvd</t>
  </si>
  <si>
    <t>Northwood</t>
  </si>
  <si>
    <t>allwaysunique02@yahoo.com</t>
  </si>
  <si>
    <t>WOOD</t>
  </si>
  <si>
    <t>Salem Human Society, Inc</t>
  </si>
  <si>
    <t>Jill</t>
  </si>
  <si>
    <t>Abdoo</t>
  </si>
  <si>
    <t>PO Box 101</t>
  </si>
  <si>
    <t>Salem</t>
  </si>
  <si>
    <t>COLUMBIANA</t>
  </si>
  <si>
    <t>hsccoffice@yahoo.com</t>
  </si>
  <si>
    <t>18255 S Lincoln</t>
  </si>
  <si>
    <t>Samoyed Rescue</t>
  </si>
  <si>
    <t>Elaine</t>
  </si>
  <si>
    <t>Gold</t>
  </si>
  <si>
    <t>1022 Oak St</t>
  </si>
  <si>
    <t>goldstarsamoyeds@juno.com</t>
  </si>
  <si>
    <t>Sass Shih Tzu Rescue</t>
  </si>
  <si>
    <t>Rebecca</t>
  </si>
  <si>
    <t>Brown</t>
  </si>
  <si>
    <t>4450 Storms Creek Road</t>
  </si>
  <si>
    <t>becki@sassrescue.com</t>
  </si>
  <si>
    <t>Save a Mom Pregnant Dog Rescue Inc</t>
  </si>
  <si>
    <t>Jones</t>
  </si>
  <si>
    <t>1271 Downing Street SW</t>
  </si>
  <si>
    <t>East Sparta</t>
  </si>
  <si>
    <t>saveamomrescue@aol.com</t>
  </si>
  <si>
    <t>Jones, Denise L</t>
  </si>
  <si>
    <t>Schnauzer Friends for Rescue and Adoption</t>
  </si>
  <si>
    <t>Susan</t>
  </si>
  <si>
    <t>Bias</t>
  </si>
  <si>
    <t>10558 Mill Rd</t>
  </si>
  <si>
    <t>saveaschnauzer@yahoo.com</t>
  </si>
  <si>
    <t>Second Chance Humane Society</t>
  </si>
  <si>
    <t>Evans</t>
  </si>
  <si>
    <t>PO Box 286</t>
  </si>
  <si>
    <t>Johnstown</t>
  </si>
  <si>
    <t>secchancehs@aol.com</t>
  </si>
  <si>
    <t>4426 Hazelton-Etna Rd</t>
  </si>
  <si>
    <t>Second Chance Rescue</t>
  </si>
  <si>
    <t>Sue</t>
  </si>
  <si>
    <t>Rancurello</t>
  </si>
  <si>
    <t>4403 SR 725</t>
  </si>
  <si>
    <t>Ste F</t>
  </si>
  <si>
    <t>secchancerscue@aol.com</t>
  </si>
  <si>
    <t>Secondhand Mutts</t>
  </si>
  <si>
    <t>Riker</t>
  </si>
  <si>
    <t>2603 Scranton Rd</t>
  </si>
  <si>
    <t>rescue@secondhandmutts.org</t>
  </si>
  <si>
    <t>Senior Moments Weimaraners Inc</t>
  </si>
  <si>
    <t>Keller</t>
  </si>
  <si>
    <t>PO Box 703</t>
  </si>
  <si>
    <t>Pickerington</t>
  </si>
  <si>
    <t>seniormomentsweims@gmail.com</t>
  </si>
  <si>
    <t>Sheltered Paws Dog Rescue</t>
  </si>
  <si>
    <t>Schneider</t>
  </si>
  <si>
    <t>PO Box 748</t>
  </si>
  <si>
    <t>Miamitown</t>
  </si>
  <si>
    <t>jlcschneider@aol.com</t>
  </si>
  <si>
    <t>Sheltered Paws</t>
  </si>
  <si>
    <t>6743 Oleander Ct</t>
  </si>
  <si>
    <t>Liberty Township</t>
  </si>
  <si>
    <t>BUTLER</t>
  </si>
  <si>
    <t>Small Paws Rescue, Inc</t>
  </si>
  <si>
    <t>Pressnall</t>
  </si>
  <si>
    <t>3316 S 72nd West Avenue</t>
  </si>
  <si>
    <t>Tulsa</t>
  </si>
  <si>
    <t>OK</t>
  </si>
  <si>
    <t>TULSA</t>
  </si>
  <si>
    <t>dale@smallpawsrescue.org</t>
  </si>
  <si>
    <t>3316 S 72nd West</t>
  </si>
  <si>
    <t>Society for the Protection of Animals Inc</t>
  </si>
  <si>
    <t>PO Box 1047</t>
  </si>
  <si>
    <t>Fremont</t>
  </si>
  <si>
    <t>SANDUSKY</t>
  </si>
  <si>
    <t>spaohio@sbcglobal.net</t>
  </si>
  <si>
    <t>2423 CR 41</t>
  </si>
  <si>
    <t>Southern Ohio Wolf Sanctuary</t>
  </si>
  <si>
    <t>John</t>
  </si>
  <si>
    <t>DeBoard</t>
  </si>
  <si>
    <t>3416 CR 124</t>
  </si>
  <si>
    <t>Chesapeake</t>
  </si>
  <si>
    <t>LAWRENCE</t>
  </si>
  <si>
    <t>southernohiowolfsanctuary@yahoo.com</t>
  </si>
  <si>
    <t>Speak for The Unspoken</t>
  </si>
  <si>
    <t>Abby</t>
  </si>
  <si>
    <t>Schackelford</t>
  </si>
  <si>
    <t>PO Box 534</t>
  </si>
  <si>
    <t>rescue@speakfortheunspoken.com</t>
  </si>
  <si>
    <t>Speak for the Unspoken</t>
  </si>
  <si>
    <t>Star-Mar Rescue</t>
  </si>
  <si>
    <t>Martha</t>
  </si>
  <si>
    <t>Leary</t>
  </si>
  <si>
    <t>4233 Blachleyville Rd</t>
  </si>
  <si>
    <t>Wooster</t>
  </si>
  <si>
    <t>starmarrescue@gmail.com</t>
  </si>
  <si>
    <t>Starting Over Airedale Rescue (S.O.A.R.)</t>
  </si>
  <si>
    <t>Heather</t>
  </si>
  <si>
    <t>Estlow</t>
  </si>
  <si>
    <t>1721 Peavy Rd</t>
  </si>
  <si>
    <t>Howell</t>
  </si>
  <si>
    <t>LIVINGSTON</t>
  </si>
  <si>
    <t>airedales22@yahoo.com</t>
  </si>
  <si>
    <t>Scottish Terrier Club of Greater Dayton</t>
  </si>
  <si>
    <t>Bates</t>
  </si>
  <si>
    <t>PO Box 3344</t>
  </si>
  <si>
    <t>cheryl.a.bates@gmail.com</t>
  </si>
  <si>
    <t>221 Belmonte Park East</t>
  </si>
  <si>
    <t>Stop The Suffering</t>
  </si>
  <si>
    <t>Lynne</t>
  </si>
  <si>
    <t>Aronson</t>
  </si>
  <si>
    <t>452 Overlook Drive</t>
  </si>
  <si>
    <t>lynne.aronson52@gmail.com</t>
  </si>
  <si>
    <t>TLC Rescue</t>
  </si>
  <si>
    <t>Tina</t>
  </si>
  <si>
    <t>Wise</t>
  </si>
  <si>
    <t>6890 Hedges Ln</t>
  </si>
  <si>
    <t>Frazeysburg</t>
  </si>
  <si>
    <t>MUSKINGUM</t>
  </si>
  <si>
    <t>Teddy's Rescue, Inc</t>
  </si>
  <si>
    <t>Tamara</t>
  </si>
  <si>
    <t>Conmay</t>
  </si>
  <si>
    <t>12409 County Road 99</t>
  </si>
  <si>
    <t>Findlay</t>
  </si>
  <si>
    <t>HANCOCK</t>
  </si>
  <si>
    <t>teddysrescue@hotmail.com</t>
  </si>
  <si>
    <t>Teddy's Rescue Inc</t>
  </si>
  <si>
    <t>The Canine Collective</t>
  </si>
  <si>
    <t>Hard</t>
  </si>
  <si>
    <t>4365 Maynard Rd</t>
  </si>
  <si>
    <t>Delaware</t>
  </si>
  <si>
    <t>info@caninecollective.org</t>
  </si>
  <si>
    <t>11144 US RT 42</t>
  </si>
  <si>
    <t>Pack Pride Sanctuary</t>
  </si>
  <si>
    <t>Teresa</t>
  </si>
  <si>
    <t>Ceraley</t>
  </si>
  <si>
    <t>4066 E 81 St</t>
  </si>
  <si>
    <t>packpridesanc@gmail.com</t>
  </si>
  <si>
    <t>The Rescue Inn Inc</t>
  </si>
  <si>
    <t>Kristen</t>
  </si>
  <si>
    <t>Kudla</t>
  </si>
  <si>
    <t>PO Box 246</t>
  </si>
  <si>
    <t>therescueinn@gmail.com</t>
  </si>
  <si>
    <t>The Sanctuary for Senior Dogs</t>
  </si>
  <si>
    <t>Workman</t>
  </si>
  <si>
    <t>PO Box 609054</t>
  </si>
  <si>
    <t>info@sanctuaryforseniordogs.org</t>
  </si>
  <si>
    <t>ROAR Inc</t>
  </si>
  <si>
    <t>Crystal</t>
  </si>
  <si>
    <t>Phoenix</t>
  </si>
  <si>
    <t>12875 Hawke Rd</t>
  </si>
  <si>
    <t>Columbia Station</t>
  </si>
  <si>
    <t>contact@muttmotelandmakeovers.com</t>
  </si>
  <si>
    <t>SICSA Pet Adoption Center</t>
  </si>
  <si>
    <t>Emma</t>
  </si>
  <si>
    <t>Blackman-Mathis</t>
  </si>
  <si>
    <t>2600 Wilmington Pk</t>
  </si>
  <si>
    <t>ebmathis@sicsa.org</t>
  </si>
  <si>
    <t>Thirdtyme Rescue</t>
  </si>
  <si>
    <t>Ronald</t>
  </si>
  <si>
    <t>Briggs</t>
  </si>
  <si>
    <t>4560 TR 59</t>
  </si>
  <si>
    <t>Mt Gilead</t>
  </si>
  <si>
    <t>rjbriggs@yahoo.com</t>
  </si>
  <si>
    <t>Tiny Blessing Fairy and Puky Small Dog Rescue</t>
  </si>
  <si>
    <t>Michael</t>
  </si>
  <si>
    <t>Custer</t>
  </si>
  <si>
    <t>33262 Wills Hill Rd</t>
  </si>
  <si>
    <t>Pomeroy</t>
  </si>
  <si>
    <t>Tri State Collie Rescue</t>
  </si>
  <si>
    <t>James</t>
  </si>
  <si>
    <t>Curtin</t>
  </si>
  <si>
    <t>6410 Clark State Road</t>
  </si>
  <si>
    <t>Blacklick</t>
  </si>
  <si>
    <t>jbcurtin@gmail.com</t>
  </si>
  <si>
    <t>Valley Save-A-Pet Inc</t>
  </si>
  <si>
    <t>McClurg</t>
  </si>
  <si>
    <t>PO Box 39221</t>
  </si>
  <si>
    <t>Solon</t>
  </si>
  <si>
    <t>melody.mcclurg@gmail.com</t>
  </si>
  <si>
    <t>17091 Madison Rd</t>
  </si>
  <si>
    <t>Middlefield</t>
  </si>
  <si>
    <t>Weeping Willow German Shepherd Sanctuary</t>
  </si>
  <si>
    <t>Lukos</t>
  </si>
  <si>
    <t>2469 Hewitt Gifford Rd</t>
  </si>
  <si>
    <t>Lordstown</t>
  </si>
  <si>
    <t>sarvagsd@aol.com</t>
  </si>
  <si>
    <t>Weim Friends Rescue Inc</t>
  </si>
  <si>
    <t>Kuntz</t>
  </si>
  <si>
    <t>PO Box 43303</t>
  </si>
  <si>
    <t>weimfriendsrescue@gmail.com</t>
  </si>
  <si>
    <t>West Highland White Terrier Club of N Ohio</t>
  </si>
  <si>
    <t>Christina</t>
  </si>
  <si>
    <t>Schriber</t>
  </si>
  <si>
    <t>2105 Union Ave NE</t>
  </si>
  <si>
    <t>Western Reserve Poodle Club</t>
  </si>
  <si>
    <t>C</t>
  </si>
  <si>
    <t>Gable</t>
  </si>
  <si>
    <t>117 Goodrich Ct</t>
  </si>
  <si>
    <t>wrpcrescue@gmail.com</t>
  </si>
  <si>
    <t>Wolf Run Rescue</t>
  </si>
  <si>
    <t>Noella</t>
  </si>
  <si>
    <t>Monreal</t>
  </si>
  <si>
    <t>7888 Cooley Rd</t>
  </si>
  <si>
    <t>Wolfspirits Toy Breed Puppymill Rescue</t>
  </si>
  <si>
    <t>Robin</t>
  </si>
  <si>
    <t>Aufderheide</t>
  </si>
  <si>
    <t>1949 Pickle Rd</t>
  </si>
  <si>
    <t>wolfspirit729@aol.com</t>
  </si>
  <si>
    <t>Zaron's Dog Forum</t>
  </si>
  <si>
    <t>Zharon</t>
  </si>
  <si>
    <t>VanMeter</t>
  </si>
  <si>
    <t>PO Box 21304</t>
  </si>
  <si>
    <t>artloar@aol.com</t>
  </si>
  <si>
    <t>3808 Surrey Hill Place</t>
  </si>
  <si>
    <t>Upper Arlington</t>
  </si>
  <si>
    <t>We Are Family Animal Rescue Inc</t>
  </si>
  <si>
    <t>Traci</t>
  </si>
  <si>
    <t>Smetzer</t>
  </si>
  <si>
    <t>1142 Heyl Rd</t>
  </si>
  <si>
    <t>wafarescue@gmail.com</t>
  </si>
  <si>
    <t>Southeastern Ohio SPCA</t>
  </si>
  <si>
    <t>Ray-Swope</t>
  </si>
  <si>
    <t>PO Box 8263</t>
  </si>
  <si>
    <t>Zanesville</t>
  </si>
  <si>
    <t>SOSPCA@columbus.rr.co</t>
  </si>
  <si>
    <t>Ruff Rescue Transport</t>
  </si>
  <si>
    <t>Ruff</t>
  </si>
  <si>
    <t>2478 Arbor Glen Ct</t>
  </si>
  <si>
    <t>rescue@rufftransport.org</t>
  </si>
  <si>
    <t>Toledo's Pet Bull Project</t>
  </si>
  <si>
    <t>Reinsel</t>
  </si>
  <si>
    <t>PO Box 167584</t>
  </si>
  <si>
    <t>director@toledospetbullproject.com</t>
  </si>
  <si>
    <t>2249 Tremainsville Rd</t>
  </si>
  <si>
    <t>Welsh Terrier Rescue</t>
  </si>
  <si>
    <t>Norah</t>
  </si>
  <si>
    <t>Hollis</t>
  </si>
  <si>
    <t>164 N Forrest Ave</t>
  </si>
  <si>
    <t>Camden</t>
  </si>
  <si>
    <t>TN</t>
  </si>
  <si>
    <t>BENTON</t>
  </si>
  <si>
    <t>hollishaven@aol.com</t>
  </si>
  <si>
    <t>Bags Basset Rescue</t>
  </si>
  <si>
    <t>Maribeth</t>
  </si>
  <si>
    <t>Walker</t>
  </si>
  <si>
    <t>3555 Anderson Ave</t>
  </si>
  <si>
    <t>bagsbassetrescue@gmail.com</t>
  </si>
  <si>
    <t>Airedale Terrier Rescue &amp; Adoption</t>
  </si>
  <si>
    <t>Marsha</t>
  </si>
  <si>
    <t>Roush</t>
  </si>
  <si>
    <t>1123 Vesper Rd</t>
  </si>
  <si>
    <t>Ann Arbor</t>
  </si>
  <si>
    <t>WASHTENAW</t>
  </si>
  <si>
    <t>aml9848@comcast.net</t>
  </si>
  <si>
    <t>North Coast Boxer Rescue</t>
  </si>
  <si>
    <t>Shelia</t>
  </si>
  <si>
    <t>Fertal</t>
  </si>
  <si>
    <t>6168 Greenview Trl</t>
  </si>
  <si>
    <t>North Ridgeville</t>
  </si>
  <si>
    <t>northcoastboxerrescue@gmail.com</t>
  </si>
  <si>
    <t>Friends of Wood County Dog Shelter</t>
  </si>
  <si>
    <t>Kjoller</t>
  </si>
  <si>
    <t>PO Box 222</t>
  </si>
  <si>
    <t>Portage</t>
  </si>
  <si>
    <t>wcdswoof@aol.com</t>
  </si>
  <si>
    <t>Hartmans Hounds</t>
  </si>
  <si>
    <t>Margaret</t>
  </si>
  <si>
    <t>Hartman</t>
  </si>
  <si>
    <t>49922 Greystone Dr</t>
  </si>
  <si>
    <t>Amherst</t>
  </si>
  <si>
    <t>hartmanshounds@gmail.com</t>
  </si>
  <si>
    <t>Haven For Pets.Org</t>
  </si>
  <si>
    <t>Louann</t>
  </si>
  <si>
    <t>Kunsman</t>
  </si>
  <si>
    <t>PO Box 326</t>
  </si>
  <si>
    <t>Richfield</t>
  </si>
  <si>
    <t>k3377@cs.com</t>
  </si>
  <si>
    <t>2012 Katherines Ln</t>
  </si>
  <si>
    <t>Copley</t>
  </si>
  <si>
    <t>Heart Animal Refuge</t>
  </si>
  <si>
    <t>Sylvia</t>
  </si>
  <si>
    <t>Johanning</t>
  </si>
  <si>
    <t>11354 Reading Road</t>
  </si>
  <si>
    <t>Sharonville</t>
  </si>
  <si>
    <t>haveaheart@yahoo.com</t>
  </si>
  <si>
    <t>11354 Reading Rd</t>
  </si>
  <si>
    <t>Heaven's Homeless Angels</t>
  </si>
  <si>
    <t>Mary</t>
  </si>
  <si>
    <t>Vorisek</t>
  </si>
  <si>
    <t>11211 Countyline Road</t>
  </si>
  <si>
    <t>Chesterland</t>
  </si>
  <si>
    <t>mary.vorisek9953@gmail.com</t>
  </si>
  <si>
    <t>Heaven's Lil Angel Animal Sanctuary Inc</t>
  </si>
  <si>
    <t>Sheree</t>
  </si>
  <si>
    <t>Remy</t>
  </si>
  <si>
    <t>57903 US Hwy 50</t>
  </si>
  <si>
    <t>sheree543@yahoo.com</t>
  </si>
  <si>
    <t>Heritage Farms Animal Rescue</t>
  </si>
  <si>
    <t>Bartels</t>
  </si>
  <si>
    <t>PO Box 402</t>
  </si>
  <si>
    <t>Liberty Center</t>
  </si>
  <si>
    <t>HENRY</t>
  </si>
  <si>
    <t>heritagefarms08@gmail.com</t>
  </si>
  <si>
    <t>9650 County Road A</t>
  </si>
  <si>
    <t>His Hands Extended Sanctuary</t>
  </si>
  <si>
    <t>Tanya</t>
  </si>
  <si>
    <t>1560 Dalton Rd</t>
  </si>
  <si>
    <t>St. Paris</t>
  </si>
  <si>
    <t>sanctuary@hishands-extendedsanctuary.org</t>
  </si>
  <si>
    <t>Hole In The Wall Farm Animal Rescue</t>
  </si>
  <si>
    <t>Sears</t>
  </si>
  <si>
    <t>1550 Stone Rd</t>
  </si>
  <si>
    <t>Xenia</t>
  </si>
  <si>
    <t>lizettedickman@gmail.com</t>
  </si>
  <si>
    <t>Holmes County Humane Society Inc</t>
  </si>
  <si>
    <t>Mierzwiak</t>
  </si>
  <si>
    <t>PO Box 442</t>
  </si>
  <si>
    <t>Millersburg</t>
  </si>
  <si>
    <t>HOLMES</t>
  </si>
  <si>
    <t>info@holmeshumane.com</t>
  </si>
  <si>
    <t>15258 Township Road 15</t>
  </si>
  <si>
    <t>Glenmont</t>
  </si>
  <si>
    <t>Homestretch Hounds Inc</t>
  </si>
  <si>
    <t>Doug</t>
  </si>
  <si>
    <t>Richards</t>
  </si>
  <si>
    <t>4085 Reed Rd</t>
  </si>
  <si>
    <t>dogadoption@live.com</t>
  </si>
  <si>
    <t>Homeward Bound Animal Rescue</t>
  </si>
  <si>
    <t>Levi</t>
  </si>
  <si>
    <t>Turner</t>
  </si>
  <si>
    <t>3856 Tater Know Road</t>
  </si>
  <si>
    <t>Peebles</t>
  </si>
  <si>
    <t>ADAMS</t>
  </si>
  <si>
    <t>homewardboundanimalrescue1@gmail.com</t>
  </si>
  <si>
    <t>3856 Tater Knob Road</t>
  </si>
  <si>
    <t>Hopeful Hearts</t>
  </si>
  <si>
    <t>Mattox</t>
  </si>
  <si>
    <t>14187 Township Road 263</t>
  </si>
  <si>
    <t>Conesville</t>
  </si>
  <si>
    <t>COSHOCTON</t>
  </si>
  <si>
    <t>hopefulharts@yahoo.com</t>
  </si>
  <si>
    <t>HOSPETS</t>
  </si>
  <si>
    <t>Zimmerman</t>
  </si>
  <si>
    <t>PO Box 1063</t>
  </si>
  <si>
    <t>Marysville</t>
  </si>
  <si>
    <t>lisa@hospets.org</t>
  </si>
  <si>
    <t>20028 Westlake Lee Rd</t>
  </si>
  <si>
    <t>Howelling Kennels Corgi &amp; Cattle Dog Rescue</t>
  </si>
  <si>
    <t>Laudermilk</t>
  </si>
  <si>
    <t>207 Belleaire Avenue</t>
  </si>
  <si>
    <t>howellingcorgi@aol.com</t>
  </si>
  <si>
    <t>Howl At The Moon Siberian Husky Rescue Inc</t>
  </si>
  <si>
    <t>445 Park Ave</t>
  </si>
  <si>
    <t>howlatthemoon@columbus.rr.com</t>
  </si>
  <si>
    <t>Humane Society of Sandusky County</t>
  </si>
  <si>
    <t>Scarlett</t>
  </si>
  <si>
    <t>Sterling</t>
  </si>
  <si>
    <t>1315 N River Rd</t>
  </si>
  <si>
    <t>humanesocietyofsanduskycounty@yahoo.com</t>
  </si>
  <si>
    <t>Indiana Bulldog Rescue Inc</t>
  </si>
  <si>
    <t>Casey</t>
  </si>
  <si>
    <t>Scott</t>
  </si>
  <si>
    <t>PO Box 1049</t>
  </si>
  <si>
    <t>Shelbyville</t>
  </si>
  <si>
    <t>SHELBY</t>
  </si>
  <si>
    <t>casey@indianabulldogrescue.com</t>
  </si>
  <si>
    <t>Island Safe Harbor Animal Sanctuary Inc</t>
  </si>
  <si>
    <t>Benevento-Brown</t>
  </si>
  <si>
    <t>2337 S Linda Dr</t>
  </si>
  <si>
    <t>Marblehead</t>
  </si>
  <si>
    <t>pinzoo8@aol.com</t>
  </si>
  <si>
    <t>3620 E State St</t>
  </si>
  <si>
    <t>Putnam Pet Pals</t>
  </si>
  <si>
    <t>Courtney</t>
  </si>
  <si>
    <t>Schroeder</t>
  </si>
  <si>
    <t>PO Box 143</t>
  </si>
  <si>
    <t>Glandorf</t>
  </si>
  <si>
    <t>PUTNAM</t>
  </si>
  <si>
    <t>cd_schroeder@hotmail.com</t>
  </si>
  <si>
    <t>South Hills Pet Rescue</t>
  </si>
  <si>
    <t>Tara</t>
  </si>
  <si>
    <t>Kennedy</t>
  </si>
  <si>
    <t>Monaca</t>
  </si>
  <si>
    <t>BEAVER</t>
  </si>
  <si>
    <t>shpr88@yahoo.com</t>
  </si>
  <si>
    <t>15 Old 88</t>
  </si>
  <si>
    <t>South Park</t>
  </si>
  <si>
    <t>WASHINGTON</t>
  </si>
  <si>
    <t>Col Potter Cairn Rescue Network</t>
  </si>
  <si>
    <t>Tracey</t>
  </si>
  <si>
    <t>Martineau</t>
  </si>
  <si>
    <t>PO Box 1138</t>
  </si>
  <si>
    <t>Waterford</t>
  </si>
  <si>
    <t>CT</t>
  </si>
  <si>
    <t>NEW LONDON</t>
  </si>
  <si>
    <t>cpottercairn@gmail.com</t>
  </si>
  <si>
    <t>Because of Mac Animal Rescue</t>
  </si>
  <si>
    <t>Erin</t>
  </si>
  <si>
    <t>Sweeney-Robinson</t>
  </si>
  <si>
    <t>1212 Moonlight Way</t>
  </si>
  <si>
    <t>Loveland</t>
  </si>
  <si>
    <t>becauseofmac@gmail.com</t>
  </si>
  <si>
    <t>Cosmo's Buddies</t>
  </si>
  <si>
    <t>Maiore</t>
  </si>
  <si>
    <t>448 University Avenue</t>
  </si>
  <si>
    <t>cosmosbuddies@yahoo.com</t>
  </si>
  <si>
    <t>Big Fluffy Dog Rescue</t>
  </si>
  <si>
    <t>Harison</t>
  </si>
  <si>
    <t>1507 Wendell Avenue</t>
  </si>
  <si>
    <t>Nashville</t>
  </si>
  <si>
    <t>DAVIDSON</t>
  </si>
  <si>
    <t>jean@bigfluffydogs.com</t>
  </si>
  <si>
    <t>196 Jefferson Pk</t>
  </si>
  <si>
    <t>RUTHERFORD</t>
  </si>
  <si>
    <t>Great Lakes Boxer Rescue</t>
  </si>
  <si>
    <t>Shelley</t>
  </si>
  <si>
    <t>Desmond</t>
  </si>
  <si>
    <t>1227 N Betsie River</t>
  </si>
  <si>
    <t>Interlochen</t>
  </si>
  <si>
    <t>GRAND TRAVERSE</t>
  </si>
  <si>
    <t>greatlakesboxerrescue@gmail.com</t>
  </si>
  <si>
    <t>Murphy's Wet Nose Rescue</t>
  </si>
  <si>
    <t>Doreen</t>
  </si>
  <si>
    <t>Murphy</t>
  </si>
  <si>
    <t>508 Elbon Ave</t>
  </si>
  <si>
    <t>John Nelson Moosedog Rescue Fund Inc</t>
  </si>
  <si>
    <t>Pamela</t>
  </si>
  <si>
    <t>McNamara</t>
  </si>
  <si>
    <t>PO Box 65</t>
  </si>
  <si>
    <t>Mendenhall</t>
  </si>
  <si>
    <t>CHESTER</t>
  </si>
  <si>
    <t>rescue@jnmrf.org</t>
  </si>
  <si>
    <t>Sacred Hearts Animal Sanctuary &amp; Helping Hands</t>
  </si>
  <si>
    <t>Preter</t>
  </si>
  <si>
    <t>792 Bethlehem Rd</t>
  </si>
  <si>
    <t>Winchester</t>
  </si>
  <si>
    <t>forsacredhearts@yahoo.com</t>
  </si>
  <si>
    <t>Ruff House Animal Rescue</t>
  </si>
  <si>
    <t>Sarah</t>
  </si>
  <si>
    <t>Lang</t>
  </si>
  <si>
    <t>PO Box 31931</t>
  </si>
  <si>
    <t>Independence</t>
  </si>
  <si>
    <t>info@rhar.org</t>
  </si>
  <si>
    <t>Hunter's Hope Dog Rescue</t>
  </si>
  <si>
    <t>Berwold</t>
  </si>
  <si>
    <t>15621 Agnes Blvd</t>
  </si>
  <si>
    <t>Brook Park</t>
  </si>
  <si>
    <t>huntershoperescue@gmail.com</t>
  </si>
  <si>
    <t>Roper's Precious Puppies</t>
  </si>
  <si>
    <t>Janos</t>
  </si>
  <si>
    <t>Roper</t>
  </si>
  <si>
    <t>4216 Roundhouse Drive</t>
  </si>
  <si>
    <t>roper.8@wright.edu</t>
  </si>
  <si>
    <t>Charlie's Wish Animal Rescue Inc</t>
  </si>
  <si>
    <t>Laura</t>
  </si>
  <si>
    <t>Cheng</t>
  </si>
  <si>
    <t>309 Gateshead Ct</t>
  </si>
  <si>
    <t>charlieswishrescue@gmail.com</t>
  </si>
  <si>
    <t>Happy Tails Pup Partners</t>
  </si>
  <si>
    <t>Cox</t>
  </si>
  <si>
    <t>613 Wildbrook Ln</t>
  </si>
  <si>
    <t>happytailsrescue@hotmail.com</t>
  </si>
  <si>
    <t>Wire Fox Terrier Rescue Midwest</t>
  </si>
  <si>
    <t>Knierim</t>
  </si>
  <si>
    <t>PO Box 21</t>
  </si>
  <si>
    <t>Mokena</t>
  </si>
  <si>
    <t>WILL</t>
  </si>
  <si>
    <t>knierim@msn.com</t>
  </si>
  <si>
    <t>13046 185th</t>
  </si>
  <si>
    <t>RESCUED Ohio</t>
  </si>
  <si>
    <t>Kara</t>
  </si>
  <si>
    <t>Schrinner</t>
  </si>
  <si>
    <t>PO Box 382</t>
  </si>
  <si>
    <t>info@rescuedohio.org</t>
  </si>
  <si>
    <t>Basenji Rescue and Transport Inc</t>
  </si>
  <si>
    <t>Webb-Hilliard</t>
  </si>
  <si>
    <t>421 South Main St</t>
  </si>
  <si>
    <t>Lawrenceburg</t>
  </si>
  <si>
    <t>ANDERSON</t>
  </si>
  <si>
    <t>basenji2love@yahoo.com</t>
  </si>
  <si>
    <t>For The Love of Paws</t>
  </si>
  <si>
    <t>Loretta</t>
  </si>
  <si>
    <t>Houight</t>
  </si>
  <si>
    <t>343 Hilbish Ave</t>
  </si>
  <si>
    <t>lhaught@att.net</t>
  </si>
  <si>
    <t>Meigs Area Animal Rescue Foundation</t>
  </si>
  <si>
    <t>Sharon</t>
  </si>
  <si>
    <t>Bushong</t>
  </si>
  <si>
    <t>52231 State Route 248</t>
  </si>
  <si>
    <t>Long Bottom</t>
  </si>
  <si>
    <t>sbushhong1023@yahoo.com</t>
  </si>
  <si>
    <t>Mark</t>
  </si>
  <si>
    <t>Bohne</t>
  </si>
  <si>
    <t>PO Box 447</t>
  </si>
  <si>
    <t>Milan</t>
  </si>
  <si>
    <t>hilltop@lrbcg.com</t>
  </si>
  <si>
    <t>Bohne, Mark F</t>
  </si>
  <si>
    <t>311 Mason Rd E</t>
  </si>
  <si>
    <t>Great Lakes Giant Schnauzer Rescue</t>
  </si>
  <si>
    <t>Armitage</t>
  </si>
  <si>
    <t>705 Melinda Dr</t>
  </si>
  <si>
    <t>Oxford</t>
  </si>
  <si>
    <t>glgsr801@yahoo.com</t>
  </si>
  <si>
    <t>Animal Pawtectors Inc</t>
  </si>
  <si>
    <t>Diane</t>
  </si>
  <si>
    <t>PO Box 303</t>
  </si>
  <si>
    <t>Cortland</t>
  </si>
  <si>
    <t>animalpawtectors@gmail.com</t>
  </si>
  <si>
    <t>4361 Hoagland-Blackstub Rd</t>
  </si>
  <si>
    <t>Saint Francis Animal Sanctuary Inc</t>
  </si>
  <si>
    <t>Parker</t>
  </si>
  <si>
    <t>12516 Cherry Rd</t>
  </si>
  <si>
    <t>Vermilion</t>
  </si>
  <si>
    <t>mparke11@aol.com</t>
  </si>
  <si>
    <t>Doberman Underground</t>
  </si>
  <si>
    <t>Meredith</t>
  </si>
  <si>
    <t>Hawk</t>
  </si>
  <si>
    <t>114 Barrington Town Square</t>
  </si>
  <si>
    <t>Suite 345</t>
  </si>
  <si>
    <t>dobermanunderground@gmail.com</t>
  </si>
  <si>
    <t>Champaign County Animal Welfare League Inc</t>
  </si>
  <si>
    <t>Trajeana</t>
  </si>
  <si>
    <t>Franks</t>
  </si>
  <si>
    <t>3858 SR 56</t>
  </si>
  <si>
    <t>Mechanicsburg</t>
  </si>
  <si>
    <t>champaigncoanimalwelfareleague@yahoo.com</t>
  </si>
  <si>
    <t>JJ's Ruff Roads</t>
  </si>
  <si>
    <t>Ramona</t>
  </si>
  <si>
    <t>Hartleben</t>
  </si>
  <si>
    <t>PO Box 381</t>
  </si>
  <si>
    <t>4228 Homeland Avenue</t>
  </si>
  <si>
    <t>Rat Terrier Rescue Canada</t>
  </si>
  <si>
    <t>Tracy</t>
  </si>
  <si>
    <t>Gouge</t>
  </si>
  <si>
    <t>25 Pine Dr</t>
  </si>
  <si>
    <t>Espanola</t>
  </si>
  <si>
    <t>ON</t>
  </si>
  <si>
    <t>UNKNOWN</t>
  </si>
  <si>
    <t>tracy@psychologynorth.ca</t>
  </si>
  <si>
    <t>Grateful Hearts Senior Dog Rescue</t>
  </si>
  <si>
    <t>Dona</t>
  </si>
  <si>
    <t>Hall</t>
  </si>
  <si>
    <t>241 Park St</t>
  </si>
  <si>
    <t>Chillicothe</t>
  </si>
  <si>
    <t>ROSS</t>
  </si>
  <si>
    <t>gratefulheartsseniordogrescue@gmail.com</t>
  </si>
  <si>
    <t>Ohio Humane Association</t>
  </si>
  <si>
    <t>Noelle</t>
  </si>
  <si>
    <t>Ditzig</t>
  </si>
  <si>
    <t>PO BOX 1003</t>
  </si>
  <si>
    <t>Medina</t>
  </si>
  <si>
    <t>ohiohumane@gmail.com</t>
  </si>
  <si>
    <t>4108 Bagdad Rd</t>
  </si>
  <si>
    <t>Fur-get Me Not Animal Rescue Inc</t>
  </si>
  <si>
    <t>Brenda</t>
  </si>
  <si>
    <t>Catalano</t>
  </si>
  <si>
    <t>4040 Laubert Rd</t>
  </si>
  <si>
    <t>Atwater</t>
  </si>
  <si>
    <t>furgetmenotrescue@gmail.com</t>
  </si>
  <si>
    <t>Buckeye's Mission</t>
  </si>
  <si>
    <t>Constance</t>
  </si>
  <si>
    <t>Richendollar</t>
  </si>
  <si>
    <t>2713 Saddle Creek</t>
  </si>
  <si>
    <t>buckeyethepittie@gmail.com</t>
  </si>
  <si>
    <t>4866 Center Road</t>
  </si>
  <si>
    <t>Brunswick</t>
  </si>
  <si>
    <t>Pinealope Animal Rescue</t>
  </si>
  <si>
    <t>Megan</t>
  </si>
  <si>
    <t>PO Box 366</t>
  </si>
  <si>
    <t>sec.pinealope@yahoo.com</t>
  </si>
  <si>
    <t>ASPCA Temporary Shelter</t>
  </si>
  <si>
    <t>Collins</t>
  </si>
  <si>
    <t>424 East 92nd Street</t>
  </si>
  <si>
    <t>New York</t>
  </si>
  <si>
    <t>NEW YORK</t>
  </si>
  <si>
    <t>joe.hinkle@aspca.org</t>
  </si>
  <si>
    <t>3900 Groves Road</t>
  </si>
  <si>
    <t>Logans Run Sanctuary</t>
  </si>
  <si>
    <t>Jacquelyn</t>
  </si>
  <si>
    <t>2151 Knauss Rd</t>
  </si>
  <si>
    <t>Bucyrus</t>
  </si>
  <si>
    <t>CRAWFORD</t>
  </si>
  <si>
    <t>consult_jevans@yahoo.com</t>
  </si>
  <si>
    <t>Humane Society of Ottawa County</t>
  </si>
  <si>
    <t>Mary Anne</t>
  </si>
  <si>
    <t>Koebel</t>
  </si>
  <si>
    <t>2424 E Sand Rd</t>
  </si>
  <si>
    <t>HSOC1976@yahoo.com</t>
  </si>
  <si>
    <t>Second Chance for Animals Inc</t>
  </si>
  <si>
    <t>Lynda</t>
  </si>
  <si>
    <t>Marshall</t>
  </si>
  <si>
    <t>PO Box 35706</t>
  </si>
  <si>
    <t>secondchance4animals@gmail.com</t>
  </si>
  <si>
    <t>Twin Rivers Rescue and Sanctuary</t>
  </si>
  <si>
    <t>Crislip</t>
  </si>
  <si>
    <t>2840 S Canal St</t>
  </si>
  <si>
    <t>Newton Falls</t>
  </si>
  <si>
    <t>dustee35@aol.com</t>
  </si>
  <si>
    <t>Luvable Furry Friends Rescue</t>
  </si>
  <si>
    <t>Marilla</t>
  </si>
  <si>
    <t>Presler</t>
  </si>
  <si>
    <t>PO Box 183</t>
  </si>
  <si>
    <t>luvablefurryfriendsrescue@gmail.com</t>
  </si>
  <si>
    <t>3147 New Milford Rd</t>
  </si>
  <si>
    <t>Canaan Animal Sanctuary</t>
  </si>
  <si>
    <t>Jodi</t>
  </si>
  <si>
    <t>Flaherty</t>
  </si>
  <si>
    <t>10288 Mitchell Dewitt Road</t>
  </si>
  <si>
    <t>canaananimals@yahoo.com</t>
  </si>
  <si>
    <t>Paw Patrol</t>
  </si>
  <si>
    <t>Brandi</t>
  </si>
  <si>
    <t>Hutchison</t>
  </si>
  <si>
    <t>3716 Claybourne Rd</t>
  </si>
  <si>
    <t>adoptions@pawpatroldayton.com</t>
  </si>
  <si>
    <t>Sophia's Grace Foundation</t>
  </si>
  <si>
    <t>Corinne</t>
  </si>
  <si>
    <t>Zoscak</t>
  </si>
  <si>
    <t>1377 Northumberland Rd</t>
  </si>
  <si>
    <t>Coatesville</t>
  </si>
  <si>
    <t>corinne@sophiasgracefoundation.org</t>
  </si>
  <si>
    <t>AJS Search &amp; Rescue</t>
  </si>
  <si>
    <t>Pleat</t>
  </si>
  <si>
    <t>PO Box 13725</t>
  </si>
  <si>
    <t>Fairlawn</t>
  </si>
  <si>
    <t>ajssearchandrescue@gmail.com</t>
  </si>
  <si>
    <t>2086 Pressler Road</t>
  </si>
  <si>
    <t>Cincinnati Lab Rescue</t>
  </si>
  <si>
    <t>Tomaszewski, Jr</t>
  </si>
  <si>
    <t>PO Box 30561</t>
  </si>
  <si>
    <t>dogesq@gmail.com</t>
  </si>
  <si>
    <t>459 Old State Route 74</t>
  </si>
  <si>
    <t>Uno's Happy Endings Rescue</t>
  </si>
  <si>
    <t>Amanda</t>
  </si>
  <si>
    <t>Goodwin</t>
  </si>
  <si>
    <t>942 Golda Place</t>
  </si>
  <si>
    <t>uherescue@yahoo.com</t>
  </si>
  <si>
    <t>Charles Rescue</t>
  </si>
  <si>
    <t>Shawna</t>
  </si>
  <si>
    <t>51296 Clark Hollow Rd</t>
  </si>
  <si>
    <t>Londonderry</t>
  </si>
  <si>
    <t>Paws for the Cause</t>
  </si>
  <si>
    <t>Nemeth</t>
  </si>
  <si>
    <t>20563 Eastwood Ave</t>
  </si>
  <si>
    <t>Fairview Park</t>
  </si>
  <si>
    <t>donkelnik@aol.com</t>
  </si>
  <si>
    <t>Buckeye Basset Hound Rescue</t>
  </si>
  <si>
    <t>Bonnie</t>
  </si>
  <si>
    <t>Patterson</t>
  </si>
  <si>
    <t>1082 Rendezvous Ln</t>
  </si>
  <si>
    <t>buckeyebassetrescue@gmail.com</t>
  </si>
  <si>
    <t>Big Paws Large Breed Rescue</t>
  </si>
  <si>
    <t>Katabra</t>
  </si>
  <si>
    <t>Windham</t>
  </si>
  <si>
    <t>4090 East 176th Street</t>
  </si>
  <si>
    <t>katabra33@gmail.com</t>
  </si>
  <si>
    <t>4090 East 176th St</t>
  </si>
  <si>
    <t>Sonnywood Animal Rescue Inc</t>
  </si>
  <si>
    <t>Keith</t>
  </si>
  <si>
    <t>530 Straight Run Rd</t>
  </si>
  <si>
    <t>Beverly</t>
  </si>
  <si>
    <t>doggonedog5574@yahoo.com</t>
  </si>
  <si>
    <t>Saved Souls Dog Rescue and Rehab</t>
  </si>
  <si>
    <t>8419 Williams Rd</t>
  </si>
  <si>
    <t>savedsouls@yahoo.com</t>
  </si>
  <si>
    <t>Max's Animal Mission</t>
  </si>
  <si>
    <t>Gooslin</t>
  </si>
  <si>
    <t>348 Mix Ave</t>
  </si>
  <si>
    <t>Columubs</t>
  </si>
  <si>
    <t>maxanimalmission@gmail.com</t>
  </si>
  <si>
    <t>Friends of Gallia County's Animals</t>
  </si>
  <si>
    <t>Kimmel</t>
  </si>
  <si>
    <t>PO Box 252</t>
  </si>
  <si>
    <t>Rio Grande</t>
  </si>
  <si>
    <t>GALLIA</t>
  </si>
  <si>
    <t>kimmelme10@gmail.com</t>
  </si>
  <si>
    <t>280 Farmview Dr</t>
  </si>
  <si>
    <t>Bidwell</t>
  </si>
  <si>
    <t>Plain &amp; Fancy Animal Rescue</t>
  </si>
  <si>
    <t>Harrower</t>
  </si>
  <si>
    <t>6047 Township Road 501</t>
  </si>
  <si>
    <t>Big Prairie</t>
  </si>
  <si>
    <t>pfrescue@gmail.com</t>
  </si>
  <si>
    <t>Cause for Canines</t>
  </si>
  <si>
    <t>Cam</t>
  </si>
  <si>
    <t>Herold</t>
  </si>
  <si>
    <t>15202 Palmer Rd SW</t>
  </si>
  <si>
    <t>Etna</t>
  </si>
  <si>
    <t>causeforcaninesrescue@gmail.com</t>
  </si>
  <si>
    <t>Second Chance Animal Rescue</t>
  </si>
  <si>
    <t>Kerry</t>
  </si>
  <si>
    <t>Augustine</t>
  </si>
  <si>
    <t>PO Box 111</t>
  </si>
  <si>
    <t>Gate Mills</t>
  </si>
  <si>
    <t>scarohio@gmail.com</t>
  </si>
  <si>
    <t>6540 Ridgebury Blvd</t>
  </si>
  <si>
    <t>Mayfield Heights</t>
  </si>
  <si>
    <t>The Road Home Animal Project</t>
  </si>
  <si>
    <t>Christine</t>
  </si>
  <si>
    <t>Shriver</t>
  </si>
  <si>
    <t>PO Box 522</t>
  </si>
  <si>
    <t>St. Clairsville</t>
  </si>
  <si>
    <t>BELMONT</t>
  </si>
  <si>
    <t>Trhapinc@aol.com</t>
  </si>
  <si>
    <t>Mini Mutts Rescue</t>
  </si>
  <si>
    <t>Carla</t>
  </si>
  <si>
    <t>Nelson</t>
  </si>
  <si>
    <t>2957 Clague Rd</t>
  </si>
  <si>
    <t>nels44077@yahoo.com</t>
  </si>
  <si>
    <t>Logan County Animal Haven</t>
  </si>
  <si>
    <t>Cynthia</t>
  </si>
  <si>
    <t>Himler</t>
  </si>
  <si>
    <t>23350 Hoover Bault Rd</t>
  </si>
  <si>
    <t>scarlett-cisco@embarqmail.com</t>
  </si>
  <si>
    <t>Raymonds</t>
  </si>
  <si>
    <t>Buckeye Australian Cattle Dog Rescue</t>
  </si>
  <si>
    <t>2363 Forest Hill Circle</t>
  </si>
  <si>
    <t>Mansfield</t>
  </si>
  <si>
    <t>RICHLAND</t>
  </si>
  <si>
    <t>buckeyeacdrescue@gmail.com</t>
  </si>
  <si>
    <t>Helping Animals Lost &amp; Orphaned (HALO)</t>
  </si>
  <si>
    <t>Regina</t>
  </si>
  <si>
    <t>Willen</t>
  </si>
  <si>
    <t>3346 Jasper Rd</t>
  </si>
  <si>
    <t>director@halok9behavior.com</t>
  </si>
  <si>
    <t>Patched Paws Pitbull Haven</t>
  </si>
  <si>
    <t>Tiffany</t>
  </si>
  <si>
    <t>Elbert</t>
  </si>
  <si>
    <t>140 Infirmary Rd</t>
  </si>
  <si>
    <t>info@patchedpaws.org</t>
  </si>
  <si>
    <t>Humane Society Serving Crawford County</t>
  </si>
  <si>
    <t>Caldwell</t>
  </si>
  <si>
    <t>3590 SR 98</t>
  </si>
  <si>
    <t>cchs@crawfordhumane.com</t>
  </si>
  <si>
    <t>Dr Dolittle's Rescue Sanctuary</t>
  </si>
  <si>
    <t>Jody</t>
  </si>
  <si>
    <t>Williams</t>
  </si>
  <si>
    <t>9063 Ontario St NW</t>
  </si>
  <si>
    <t>Massillon</t>
  </si>
  <si>
    <t>drdotittle7@gmail.com</t>
  </si>
  <si>
    <t>New Albany Pet Rescue</t>
  </si>
  <si>
    <t>Shocket</t>
  </si>
  <si>
    <t>7301 Waterston</t>
  </si>
  <si>
    <t>NAPR411@gmail.com</t>
  </si>
  <si>
    <t>Every Dog Matters Rescue</t>
  </si>
  <si>
    <t>Persinger</t>
  </si>
  <si>
    <t>6329 Market Street</t>
  </si>
  <si>
    <t>Boardman</t>
  </si>
  <si>
    <t>everydogmatters@yahoo.com</t>
  </si>
  <si>
    <t>Clark County SPCA Inc</t>
  </si>
  <si>
    <t>Krissi</t>
  </si>
  <si>
    <t>Hawke</t>
  </si>
  <si>
    <t>21 Walter St</t>
  </si>
  <si>
    <t>krissi@clarkcountyspca.org</t>
  </si>
  <si>
    <t>Wynn Road Animal Rescue</t>
  </si>
  <si>
    <t>Wydan</t>
  </si>
  <si>
    <t>Skye</t>
  </si>
  <si>
    <t>379 Wynn Road</t>
  </si>
  <si>
    <t>Piketon</t>
  </si>
  <si>
    <t>PIKE</t>
  </si>
  <si>
    <t>skybiz33@gmail.com</t>
  </si>
  <si>
    <t>Fairfield Area Humane Society</t>
  </si>
  <si>
    <t>Corey</t>
  </si>
  <si>
    <t>Schoonover</t>
  </si>
  <si>
    <t>1721 Granville Pike</t>
  </si>
  <si>
    <t>Lancaster</t>
  </si>
  <si>
    <t>fairhumane@sbcglobal.net</t>
  </si>
  <si>
    <t>Wild Angels Canine Rescue, Inc</t>
  </si>
  <si>
    <t>Charlotte</t>
  </si>
  <si>
    <t>Smith-Mountcastle</t>
  </si>
  <si>
    <t>3835 Warren Chapel Road</t>
  </si>
  <si>
    <t>Marietta</t>
  </si>
  <si>
    <t>wildangelscanine@yahoo.com</t>
  </si>
  <si>
    <t>Pet Net</t>
  </si>
  <si>
    <t>Lavena</t>
  </si>
  <si>
    <t>Lichtentels</t>
  </si>
  <si>
    <t>Yellow Springs</t>
  </si>
  <si>
    <t>petnet@outlook.com</t>
  </si>
  <si>
    <t>Pawsitive Warriors Rescue</t>
  </si>
  <si>
    <t>Murray</t>
  </si>
  <si>
    <t>1833 North Dayton Lakeview Road</t>
  </si>
  <si>
    <t>New Carlisle</t>
  </si>
  <si>
    <t>pawsitivewarriors@gmail.com</t>
  </si>
  <si>
    <t>Jackson's Legacy Inc</t>
  </si>
  <si>
    <t>PO Box 1077</t>
  </si>
  <si>
    <t>Broadalbin</t>
  </si>
  <si>
    <t>jacksonslegacy170@gmail.com</t>
  </si>
  <si>
    <t>170 State Hwy 29A</t>
  </si>
  <si>
    <t>Gloversville</t>
  </si>
  <si>
    <t>Helen's Bully Haven</t>
  </si>
  <si>
    <t>Jackie</t>
  </si>
  <si>
    <t>Bailey</t>
  </si>
  <si>
    <t>1467 Clough Pike</t>
  </si>
  <si>
    <t>helensbullyhaven@yahoo.com</t>
  </si>
  <si>
    <t>Pawsavers</t>
  </si>
  <si>
    <t>Allison</t>
  </si>
  <si>
    <t>Holloway</t>
  </si>
  <si>
    <t>8455 Township Road 169 N</t>
  </si>
  <si>
    <t>West Liberty</t>
  </si>
  <si>
    <t>LOGAN</t>
  </si>
  <si>
    <t>pawsaversrescue@gmail.com</t>
  </si>
  <si>
    <t>Must Love Corsos Rescue</t>
  </si>
  <si>
    <t>Melanie</t>
  </si>
  <si>
    <t>Vandewalle</t>
  </si>
  <si>
    <t>1680 Westbrook Dr</t>
  </si>
  <si>
    <t>melanie@mustlovecorsosrescue.org</t>
  </si>
  <si>
    <t>Fleas Rescue and Sanctuary</t>
  </si>
  <si>
    <t>Janet</t>
  </si>
  <si>
    <t>Lifer</t>
  </si>
  <si>
    <t>20919 Levering Rd</t>
  </si>
  <si>
    <t>fleasrands@yahoo.com</t>
  </si>
  <si>
    <t>Bark Animal Rescue, Inc</t>
  </si>
  <si>
    <t>Hill-Clark</t>
  </si>
  <si>
    <t>2181 SR 502</t>
  </si>
  <si>
    <t>Greenville</t>
  </si>
  <si>
    <t>DARKE</t>
  </si>
  <si>
    <t>barkanimalrescue14@yahoo.com</t>
  </si>
  <si>
    <t>Promway Rescue</t>
  </si>
  <si>
    <t>4664 5th Street NW</t>
  </si>
  <si>
    <t>promwayrescue@gmail.com</t>
  </si>
  <si>
    <t>6451 Promway Avenue NW</t>
  </si>
  <si>
    <t>North Canton</t>
  </si>
  <si>
    <t>The North American Rescue Collective</t>
  </si>
  <si>
    <t>Adeline</t>
  </si>
  <si>
    <t>Syring</t>
  </si>
  <si>
    <t>208 N. Virginialee Rd</t>
  </si>
  <si>
    <t>contact.noarc@gmail.com</t>
  </si>
  <si>
    <t>243 E Tulane Rd</t>
  </si>
  <si>
    <t>Grateful Paws Rescue, Inc.</t>
  </si>
  <si>
    <t>Rachel</t>
  </si>
  <si>
    <t>Daw</t>
  </si>
  <si>
    <t>1173 Station Road</t>
  </si>
  <si>
    <t>Valley City</t>
  </si>
  <si>
    <t>info.gratefulpaws@gmail.com</t>
  </si>
  <si>
    <t>A Lotta Love Pet Rescue</t>
  </si>
  <si>
    <t>McVeigh</t>
  </si>
  <si>
    <t>PO Box 637</t>
  </si>
  <si>
    <t>sandy2wayne3@yahoo.com</t>
  </si>
  <si>
    <t>Pennsylvania Great Dane Rescue &amp; Rehab</t>
  </si>
  <si>
    <t>Terri</t>
  </si>
  <si>
    <t>Preisel</t>
  </si>
  <si>
    <t>2450 East Brook Rd</t>
  </si>
  <si>
    <t>New Castle</t>
  </si>
  <si>
    <t>parescuedanes@gmail.com</t>
  </si>
  <si>
    <t>Companion Hearts Transport &amp; Rescue</t>
  </si>
  <si>
    <t>Peffers</t>
  </si>
  <si>
    <t>3061 London Hollow Rd NE</t>
  </si>
  <si>
    <t>Newark</t>
  </si>
  <si>
    <t>companion.hearts@yahoo.com</t>
  </si>
  <si>
    <t>Guardians for the Animals of Ohio, Inc</t>
  </si>
  <si>
    <t>Price</t>
  </si>
  <si>
    <t>PO Box 314</t>
  </si>
  <si>
    <t>guardiansfortheanimals@gmail.com</t>
  </si>
  <si>
    <t>Brave Breed Rescue, Inc</t>
  </si>
  <si>
    <t>Wesley</t>
  </si>
  <si>
    <t>Martin</t>
  </si>
  <si>
    <t>8715 State Route 571</t>
  </si>
  <si>
    <t>West Milton</t>
  </si>
  <si>
    <t>wesleymartinbb@gmail.com</t>
  </si>
  <si>
    <t>Go Boxer Rescue Inc</t>
  </si>
  <si>
    <t>Osborn</t>
  </si>
  <si>
    <t>PO Box 621</t>
  </si>
  <si>
    <t>director@goboxerrescue.com</t>
  </si>
  <si>
    <t>GO Boxer Rescue Inc</t>
  </si>
  <si>
    <t>Crossed Paws Animal Shelter</t>
  </si>
  <si>
    <t>Stalder</t>
  </si>
  <si>
    <t>41383 Stonehouse Rd</t>
  </si>
  <si>
    <t>apet4u2@hotmail.com</t>
  </si>
  <si>
    <t>Bully Breed Safe Place Inc</t>
  </si>
  <si>
    <t>Vania</t>
  </si>
  <si>
    <t>Miekeley-Mahon</t>
  </si>
  <si>
    <t>779 Glenhurst Rd</t>
  </si>
  <si>
    <t>Willowick</t>
  </si>
  <si>
    <t>bullybreedsafeplacebbsp@yahoo.com</t>
  </si>
  <si>
    <t>Wonder Dogs Inc</t>
  </si>
  <si>
    <t>Ponder</t>
  </si>
  <si>
    <t>3108 Swartzel Rd</t>
  </si>
  <si>
    <t>Farmersville</t>
  </si>
  <si>
    <t>admin@wonderdogz.com</t>
  </si>
  <si>
    <t>Wonder Dogs</t>
  </si>
  <si>
    <t>IRON PITS</t>
  </si>
  <si>
    <t>Kasi</t>
  </si>
  <si>
    <t>South</t>
  </si>
  <si>
    <t>PO Box 6</t>
  </si>
  <si>
    <t>Goshen</t>
  </si>
  <si>
    <t>ironpits2017@gmail.com</t>
  </si>
  <si>
    <t>Muttlie Crew Senior Pet Rescue</t>
  </si>
  <si>
    <t>Van Ness</t>
  </si>
  <si>
    <t>9570 Duff Rd</t>
  </si>
  <si>
    <t>dvanneg@aol.com</t>
  </si>
  <si>
    <t>Ohio American Eskimo Rescue</t>
  </si>
  <si>
    <t>Anne</t>
  </si>
  <si>
    <t>Golias</t>
  </si>
  <si>
    <t>228 Deershadow Rd</t>
  </si>
  <si>
    <t>ohioeskierescue@outlook.com</t>
  </si>
  <si>
    <t>DJ's Paw Rescue, Inc</t>
  </si>
  <si>
    <t>Jason</t>
  </si>
  <si>
    <t>1321 Davis Street SW</t>
  </si>
  <si>
    <t>jason@kennedyhosting.com</t>
  </si>
  <si>
    <t>1321 Davis St SW</t>
  </si>
  <si>
    <t>Paws Fur Life</t>
  </si>
  <si>
    <t>Adams</t>
  </si>
  <si>
    <t>5864 University Heights Circle NW</t>
  </si>
  <si>
    <t>pawsfurlife330@gmail.com</t>
  </si>
  <si>
    <t>Dogs by TJ, LLC</t>
  </si>
  <si>
    <t>Daniels, II</t>
  </si>
  <si>
    <t>32 E Coshocton St</t>
  </si>
  <si>
    <t>info@dogsbytj.com</t>
  </si>
  <si>
    <t>Dogs By TJ, LLC</t>
  </si>
  <si>
    <t>Paws Fur A Purpose Rescue</t>
  </si>
  <si>
    <t>Musser</t>
  </si>
  <si>
    <t>430 Piney Creek Drive</t>
  </si>
  <si>
    <t>auntnise2003@yahoo.com</t>
  </si>
  <si>
    <t>Pookah's Pack Rescue</t>
  </si>
  <si>
    <t>Lewers</t>
  </si>
  <si>
    <t>5273 Emil Drive SW</t>
  </si>
  <si>
    <t>Navarre</t>
  </si>
  <si>
    <t>pookahspack@yahoo.com</t>
  </si>
  <si>
    <t>Animal House</t>
  </si>
  <si>
    <t>7869 Hamilton Ave</t>
  </si>
  <si>
    <t>animalhousecincinnati@gmail.com</t>
  </si>
  <si>
    <t>All Starr Pet Rescue</t>
  </si>
  <si>
    <t>Randall</t>
  </si>
  <si>
    <t>Starr</t>
  </si>
  <si>
    <t>4732 Amaryllis Street</t>
  </si>
  <si>
    <t>Elida</t>
  </si>
  <si>
    <t>allstarrpets@yahoo.com</t>
  </si>
  <si>
    <t>Randall E Starr</t>
  </si>
  <si>
    <t>Aussie Rescue &amp; Placement Helpline, Inc.</t>
  </si>
  <si>
    <t>Michele</t>
  </si>
  <si>
    <t>Handte</t>
  </si>
  <si>
    <t>P.O. Box 5305</t>
  </si>
  <si>
    <t>jagrdoggy@yahoo.com</t>
  </si>
  <si>
    <t>Aussie Rescue &amp; Placement Helpline, Inc</t>
  </si>
  <si>
    <t>SOUTHERN OHIO BOXER RESCUE</t>
  </si>
  <si>
    <t>RAMONA</t>
  </si>
  <si>
    <t>CAMP</t>
  </si>
  <si>
    <t>PO BOX 844</t>
  </si>
  <si>
    <t>JACKSON</t>
  </si>
  <si>
    <t>soboxerrescue@gmail.com</t>
  </si>
  <si>
    <t>19120 STATE ROUTE 93</t>
  </si>
  <si>
    <t>P O BOX 844</t>
  </si>
  <si>
    <t>WELLSTON</t>
  </si>
  <si>
    <t>Toledo Animal Rescue</t>
  </si>
  <si>
    <t>Johanna</t>
  </si>
  <si>
    <t>Rohkonen</t>
  </si>
  <si>
    <t>640 Wyman Street</t>
  </si>
  <si>
    <t>jrahkonen@toledoanimalrescue.org</t>
  </si>
  <si>
    <t>Laber of Love Pet Rescue</t>
  </si>
  <si>
    <t>Nicole</t>
  </si>
  <si>
    <t>Laber</t>
  </si>
  <si>
    <t>1109 Wayne Street</t>
  </si>
  <si>
    <t>Troy</t>
  </si>
  <si>
    <t>laberoflovepets@gmail.com</t>
  </si>
  <si>
    <t>ANYTHING'S PAWSIBLE ANIMAL RESOURCE CENTER</t>
  </si>
  <si>
    <t>KATHERINE</t>
  </si>
  <si>
    <t>STEWART</t>
  </si>
  <si>
    <t>1128 LAGONDA AVE</t>
  </si>
  <si>
    <t>SPRINGFIELD</t>
  </si>
  <si>
    <t>APARCOHIO@GMAIL.COM</t>
  </si>
  <si>
    <t>1128 LAGONDA AVE`</t>
  </si>
  <si>
    <t>Goodnight Farm Rescue</t>
  </si>
  <si>
    <t>7516 Liberty Road</t>
  </si>
  <si>
    <t>goodnightfarmrescue@gmail.com</t>
  </si>
  <si>
    <t>Tim Goodnight</t>
  </si>
  <si>
    <t>Project Cecil Rescue Ranch</t>
  </si>
  <si>
    <t>Lorna</t>
  </si>
  <si>
    <t>Good</t>
  </si>
  <si>
    <t>6399 Johnstown Utica Road NE</t>
  </si>
  <si>
    <t>Utica</t>
  </si>
  <si>
    <t>projectcecil@yahoo.com</t>
  </si>
  <si>
    <t>Straight From The Hart</t>
  </si>
  <si>
    <t>Brian</t>
  </si>
  <si>
    <t>1426 W 44th St</t>
  </si>
  <si>
    <t>straightfromthehartrescue@gmail.com</t>
  </si>
  <si>
    <t>ALCHEMY ACRES ANIMAL SANCTUARY</t>
  </si>
  <si>
    <t>EMILY</t>
  </si>
  <si>
    <t>SACCO</t>
  </si>
  <si>
    <t>1859 DEPOT RD</t>
  </si>
  <si>
    <t>SALEM</t>
  </si>
  <si>
    <t>alchemyacres@aol.com</t>
  </si>
  <si>
    <t>DOGS TO THE RESCUE, INC</t>
  </si>
  <si>
    <t>OPAL</t>
  </si>
  <si>
    <t>MUSTAIN</t>
  </si>
  <si>
    <t>1883 GREENBRIAR RD</t>
  </si>
  <si>
    <t>PORTSMOUTH</t>
  </si>
  <si>
    <t>SCIOTO</t>
  </si>
  <si>
    <t>dogstotherescue101@gmail.com</t>
  </si>
  <si>
    <t>MUSTAIN, OPAL</t>
  </si>
  <si>
    <t>HOMELESS HOUNDS RESCUE</t>
  </si>
  <si>
    <t>REBA</t>
  </si>
  <si>
    <t>JENKINS</t>
  </si>
  <si>
    <t>1558 TWP 204</t>
  </si>
  <si>
    <t>BELLEFONTAINE</t>
  </si>
  <si>
    <t>24reba1991@gmail.com</t>
  </si>
  <si>
    <t>Animal Welfare of Clark County</t>
  </si>
  <si>
    <t>Libby</t>
  </si>
  <si>
    <t>6330 Willowdale Rd</t>
  </si>
  <si>
    <t>radams43@woh.rr.com</t>
  </si>
  <si>
    <t>Wagging Tales Rescue</t>
  </si>
  <si>
    <t>Lilla</t>
  </si>
  <si>
    <t>Dvoraczky</t>
  </si>
  <si>
    <t>5456 Larkshire Court</t>
  </si>
  <si>
    <t>waggingtalesrescueohio@gmail.com</t>
  </si>
  <si>
    <t>Sandy's Place</t>
  </si>
  <si>
    <t>Mykrantz</t>
  </si>
  <si>
    <t>4020 W Old Lincoln Way</t>
  </si>
  <si>
    <t>jamcvm@aol.com</t>
  </si>
  <si>
    <t>4020 W OLD LINCOLN WAY</t>
  </si>
  <si>
    <t>WOOSTER</t>
  </si>
  <si>
    <t>Silver Fur K9 Rescue and Retirement</t>
  </si>
  <si>
    <t>Hollins</t>
  </si>
  <si>
    <t>2600 Forman Road</t>
  </si>
  <si>
    <t>Austinburg</t>
  </si>
  <si>
    <t>silverfurk9rescue@gmail.com</t>
  </si>
  <si>
    <t>GILBERT</t>
  </si>
  <si>
    <t>ANN</t>
  </si>
  <si>
    <t>MILLS</t>
  </si>
  <si>
    <t>25100 LAKELAND BLVD</t>
  </si>
  <si>
    <t>EUCLID</t>
  </si>
  <si>
    <t>amills@cityofeuclid.com</t>
  </si>
  <si>
    <t>Diamonds In The Ruff Rescue Ohio</t>
  </si>
  <si>
    <t>9918 West River Road</t>
  </si>
  <si>
    <t>ditrrescue.oh@gmail.com</t>
  </si>
  <si>
    <t>Ruby's Rescues</t>
  </si>
  <si>
    <t>Nan</t>
  </si>
  <si>
    <t>Lynch</t>
  </si>
  <si>
    <t>15692 Sligo Road</t>
  </si>
  <si>
    <t>Kimbolton</t>
  </si>
  <si>
    <t>GUERNSEY</t>
  </si>
  <si>
    <t>rubysrescues@gmail.com</t>
  </si>
  <si>
    <t>Grateful Acres Pets</t>
  </si>
  <si>
    <t>Bobbie</t>
  </si>
  <si>
    <t>Brenick</t>
  </si>
  <si>
    <t>PO Box 155</t>
  </si>
  <si>
    <t>3022 McDonald Road SW</t>
  </si>
  <si>
    <t>Medical Mutts</t>
  </si>
  <si>
    <t>Melissa</t>
  </si>
  <si>
    <t>Morris</t>
  </si>
  <si>
    <t>6256 La Pas Trail</t>
  </si>
  <si>
    <t>Indianapolis</t>
  </si>
  <si>
    <t>MARION</t>
  </si>
  <si>
    <t>Humane Association of Warren Co</t>
  </si>
  <si>
    <t>Joanne</t>
  </si>
  <si>
    <t>Hurley</t>
  </si>
  <si>
    <t>230 Cook Road</t>
  </si>
  <si>
    <t>jh@homelesspets.org</t>
  </si>
  <si>
    <t>Mastino Rescue, Inc</t>
  </si>
  <si>
    <t>201 Carmel Woods Drive</t>
  </si>
  <si>
    <t>Ellisville</t>
  </si>
  <si>
    <t>MO</t>
  </si>
  <si>
    <t>ST. LOUIS</t>
  </si>
  <si>
    <t>mastinorescue@gmail.com</t>
  </si>
  <si>
    <t>Forever Friends Great Dane Rescue, Inc</t>
  </si>
  <si>
    <t>PO Box 20125</t>
  </si>
  <si>
    <t>foreverfriendsgdri@gmail.com</t>
  </si>
  <si>
    <t>Growls and Howls Animal Rescue</t>
  </si>
  <si>
    <t>Lauren</t>
  </si>
  <si>
    <t>Mowles</t>
  </si>
  <si>
    <t>1068 Rushleigh Road</t>
  </si>
  <si>
    <t>Cleveland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</si>
</sst>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horizontal="center" vertical="top" wrapText="1"/>
    </xf>
    <xf numFmtId="164" fontId="19" fillId="0" borderId="10" xfId="0" applyNumberFormat="1" applyFont="1" applyBorder="1" applyAlignment="1">
      <alignment vertical="top" wrapText="1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5"/>
  <sheetViews>
    <sheetView showGridLines="0" tabSelected="1" topLeftCell="A64" workbookViewId="0"/>
  </sheetViews>
  <sheetFormatPr defaultColWidth="41.88671875" defaultRowHeight="14.4" x14ac:dyDescent="0.3"/>
  <cols>
    <col min="1" max="1" width="13.33203125" bestFit="1" customWidth="1"/>
    <col min="2" max="2" width="40.88671875" bestFit="1" customWidth="1"/>
    <col min="3" max="3" width="20.6640625" bestFit="1" customWidth="1"/>
    <col min="4" max="4" width="22.109375" bestFit="1" customWidth="1"/>
    <col min="5" max="5" width="39.6640625" bestFit="1" customWidth="1"/>
    <col min="6" max="6" width="25.88671875" bestFit="1" customWidth="1"/>
    <col min="7" max="7" width="22.109375" bestFit="1" customWidth="1"/>
    <col min="8" max="8" width="14.5546875" bestFit="1" customWidth="1"/>
    <col min="9" max="10" width="18.33203125" bestFit="1" customWidth="1"/>
    <col min="11" max="13" width="40.88671875" bestFit="1" customWidth="1"/>
    <col min="14" max="14" width="39.6640625" bestFit="1" customWidth="1"/>
    <col min="15" max="15" width="29.6640625" bestFit="1" customWidth="1"/>
    <col min="16" max="16" width="22.109375" bestFit="1" customWidth="1"/>
    <col min="17" max="17" width="18.33203125" bestFit="1" customWidth="1"/>
    <col min="18" max="18" width="15.6640625" bestFit="1" customWidth="1"/>
    <col min="19" max="19" width="19.5546875" bestFit="1" customWidth="1"/>
    <col min="20" max="20" width="27.109375" style="7" bestFit="1" customWidth="1"/>
    <col min="21" max="21" width="28.33203125" bestFit="1" customWidth="1"/>
  </cols>
  <sheetData>
    <row r="1" spans="1:21" s="1" customFormat="1" ht="28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5" t="s">
        <v>19</v>
      </c>
      <c r="U1" s="2" t="s">
        <v>20</v>
      </c>
    </row>
    <row r="2" spans="1:21" s="3" customFormat="1" x14ac:dyDescent="0.3">
      <c r="A2" s="4" t="str">
        <f>"CB0008ZB"</f>
        <v>CB0008ZB</v>
      </c>
      <c r="B2" s="4" t="s">
        <v>30</v>
      </c>
      <c r="C2" s="4" t="s">
        <v>31</v>
      </c>
      <c r="D2" s="4" t="s">
        <v>32</v>
      </c>
      <c r="E2" s="4" t="s">
        <v>33</v>
      </c>
      <c r="F2" s="4"/>
      <c r="G2" s="4" t="s">
        <v>34</v>
      </c>
      <c r="H2" s="4" t="s">
        <v>26</v>
      </c>
      <c r="I2" s="4" t="str">
        <f>"44095"</f>
        <v>44095</v>
      </c>
      <c r="J2" s="4" t="s">
        <v>35</v>
      </c>
      <c r="K2" s="4" t="str">
        <f>"(M) 440-289-1515"</f>
        <v>(M) 440-289-1515</v>
      </c>
      <c r="L2" s="4" t="s">
        <v>36</v>
      </c>
      <c r="M2" s="4" t="s">
        <v>30</v>
      </c>
      <c r="N2" s="4" t="s">
        <v>33</v>
      </c>
      <c r="O2" s="4"/>
      <c r="P2" s="4" t="s">
        <v>34</v>
      </c>
      <c r="Q2" s="4" t="s">
        <v>26</v>
      </c>
      <c r="R2" s="4" t="str">
        <f>"44095"</f>
        <v>44095</v>
      </c>
      <c r="S2" s="4" t="s">
        <v>35</v>
      </c>
      <c r="T2" s="6">
        <v>44196</v>
      </c>
      <c r="U2" s="4" t="s">
        <v>29</v>
      </c>
    </row>
    <row r="3" spans="1:21" s="3" customFormat="1" x14ac:dyDescent="0.3">
      <c r="A3" s="4" t="str">
        <f>"CB0008YD"</f>
        <v>CB0008YD</v>
      </c>
      <c r="B3" s="4" t="s">
        <v>21</v>
      </c>
      <c r="C3" s="4" t="s">
        <v>22</v>
      </c>
      <c r="D3" s="4" t="s">
        <v>23</v>
      </c>
      <c r="E3" s="4" t="s">
        <v>24</v>
      </c>
      <c r="F3" s="4"/>
      <c r="G3" s="4" t="s">
        <v>25</v>
      </c>
      <c r="H3" s="4" t="s">
        <v>26</v>
      </c>
      <c r="I3" s="4" t="str">
        <f>"45133"</f>
        <v>45133</v>
      </c>
      <c r="J3" s="4" t="s">
        <v>27</v>
      </c>
      <c r="K3" s="4" t="str">
        <f>"(P) 937-764-0406"</f>
        <v>(P) 937-764-0406</v>
      </c>
      <c r="L3" s="4" t="s">
        <v>28</v>
      </c>
      <c r="M3" s="4" t="s">
        <v>21</v>
      </c>
      <c r="N3" s="4" t="s">
        <v>24</v>
      </c>
      <c r="O3" s="4"/>
      <c r="P3" s="4" t="s">
        <v>25</v>
      </c>
      <c r="Q3" s="4" t="s">
        <v>26</v>
      </c>
      <c r="R3" s="4" t="str">
        <f>"45133"</f>
        <v>45133</v>
      </c>
      <c r="S3" s="4" t="s">
        <v>27</v>
      </c>
      <c r="T3" s="6">
        <v>44196</v>
      </c>
      <c r="U3" s="4" t="s">
        <v>29</v>
      </c>
    </row>
    <row r="4" spans="1:21" s="3" customFormat="1" ht="28.8" x14ac:dyDescent="0.3">
      <c r="A4" s="4" t="str">
        <f>"CB001FVJ"</f>
        <v>CB001FVJ</v>
      </c>
      <c r="B4" s="4" t="s">
        <v>1728</v>
      </c>
      <c r="C4" s="4" t="s">
        <v>393</v>
      </c>
      <c r="D4" s="4" t="s">
        <v>1729</v>
      </c>
      <c r="E4" s="4" t="s">
        <v>1730</v>
      </c>
      <c r="F4" s="4"/>
      <c r="G4" s="4" t="s">
        <v>322</v>
      </c>
      <c r="H4" s="4" t="s">
        <v>26</v>
      </c>
      <c r="I4" s="4" t="str">
        <f>"45804"</f>
        <v>45804</v>
      </c>
      <c r="J4" s="4" t="s">
        <v>323</v>
      </c>
      <c r="K4" s="4" t="str">
        <f>"(P) 419-229-5612 (M) 419-371-4651"</f>
        <v>(P) 419-229-5612 (M) 419-371-4651</v>
      </c>
      <c r="L4" s="4" t="s">
        <v>1731</v>
      </c>
      <c r="M4" s="4" t="s">
        <v>1728</v>
      </c>
      <c r="N4" s="4" t="s">
        <v>1730</v>
      </c>
      <c r="O4" s="4"/>
      <c r="P4" s="4" t="s">
        <v>322</v>
      </c>
      <c r="Q4" s="4" t="s">
        <v>26</v>
      </c>
      <c r="R4" s="4" t="str">
        <f>"45802"</f>
        <v>45802</v>
      </c>
      <c r="S4" s="4" t="s">
        <v>323</v>
      </c>
      <c r="T4" s="6">
        <v>44196</v>
      </c>
      <c r="U4" s="4" t="s">
        <v>29</v>
      </c>
    </row>
    <row r="5" spans="1:21" s="3" customFormat="1" x14ac:dyDescent="0.3">
      <c r="A5" s="4" t="str">
        <f>"CB000930"</f>
        <v>CB000930</v>
      </c>
      <c r="B5" s="4" t="s">
        <v>37</v>
      </c>
      <c r="C5" s="4" t="s">
        <v>38</v>
      </c>
      <c r="D5" s="4" t="s">
        <v>39</v>
      </c>
      <c r="E5" s="4" t="s">
        <v>40</v>
      </c>
      <c r="F5" s="4" t="s">
        <v>41</v>
      </c>
      <c r="G5" s="4" t="s">
        <v>42</v>
      </c>
      <c r="H5" s="4" t="s">
        <v>26</v>
      </c>
      <c r="I5" s="4" t="str">
        <f>"44070"</f>
        <v>44070</v>
      </c>
      <c r="J5" s="4" t="s">
        <v>43</v>
      </c>
      <c r="K5" s="4" t="str">
        <f>"(M) 440-221-2425"</f>
        <v>(M) 440-221-2425</v>
      </c>
      <c r="L5" s="4" t="s">
        <v>44</v>
      </c>
      <c r="M5" s="4" t="s">
        <v>37</v>
      </c>
      <c r="N5" s="4" t="s">
        <v>40</v>
      </c>
      <c r="O5" s="4" t="s">
        <v>41</v>
      </c>
      <c r="P5" s="4" t="s">
        <v>45</v>
      </c>
      <c r="Q5" s="4" t="s">
        <v>26</v>
      </c>
      <c r="R5" s="4" t="str">
        <f>"44070"</f>
        <v>44070</v>
      </c>
      <c r="S5" s="4" t="s">
        <v>43</v>
      </c>
      <c r="T5" s="6">
        <v>44196</v>
      </c>
      <c r="U5" s="4" t="s">
        <v>29</v>
      </c>
    </row>
    <row r="6" spans="1:21" s="3" customFormat="1" ht="28.8" x14ac:dyDescent="0.3">
      <c r="A6" s="4" t="str">
        <f>"CB00095W"</f>
        <v>CB00095W</v>
      </c>
      <c r="B6" s="4" t="s">
        <v>53</v>
      </c>
      <c r="C6" s="4" t="s">
        <v>54</v>
      </c>
      <c r="D6" s="4" t="s">
        <v>55</v>
      </c>
      <c r="E6" s="4" t="s">
        <v>56</v>
      </c>
      <c r="F6" s="4"/>
      <c r="G6" s="4" t="s">
        <v>57</v>
      </c>
      <c r="H6" s="4" t="s">
        <v>26</v>
      </c>
      <c r="I6" s="4" t="str">
        <f>"45327"</f>
        <v>45327</v>
      </c>
      <c r="J6" s="4" t="s">
        <v>58</v>
      </c>
      <c r="K6" s="4" t="str">
        <f>"(P) 937-701-7487 (F) 800-270-1032 (M) 937-479-9915"</f>
        <v>(P) 937-701-7487 (F) 800-270-1032 (M) 937-479-9915</v>
      </c>
      <c r="L6" s="4" t="s">
        <v>59</v>
      </c>
      <c r="M6" s="4" t="s">
        <v>53</v>
      </c>
      <c r="N6" s="4" t="s">
        <v>56</v>
      </c>
      <c r="O6" s="4"/>
      <c r="P6" s="4" t="s">
        <v>57</v>
      </c>
      <c r="Q6" s="4" t="s">
        <v>26</v>
      </c>
      <c r="R6" s="4" t="str">
        <f>"45327"</f>
        <v>45327</v>
      </c>
      <c r="S6" s="4" t="s">
        <v>58</v>
      </c>
      <c r="T6" s="6">
        <v>44196</v>
      </c>
      <c r="U6" s="4" t="s">
        <v>29</v>
      </c>
    </row>
    <row r="7" spans="1:21" s="3" customFormat="1" ht="28.8" x14ac:dyDescent="0.3">
      <c r="A7" s="4" t="str">
        <f>"CB000LGW"</f>
        <v>CB000LGW</v>
      </c>
      <c r="B7" s="4" t="s">
        <v>1142</v>
      </c>
      <c r="C7" s="4" t="s">
        <v>1143</v>
      </c>
      <c r="D7" s="4" t="s">
        <v>1144</v>
      </c>
      <c r="E7" s="4" t="s">
        <v>1145</v>
      </c>
      <c r="F7" s="4"/>
      <c r="G7" s="4" t="s">
        <v>1146</v>
      </c>
      <c r="H7" s="4" t="s">
        <v>458</v>
      </c>
      <c r="I7" s="4" t="str">
        <f>"48103"</f>
        <v>48103</v>
      </c>
      <c r="J7" s="4" t="s">
        <v>1147</v>
      </c>
      <c r="K7" s="4" t="str">
        <f>"(F) 734-995-4356 (M) 734-995-4455"</f>
        <v>(F) 734-995-4356 (M) 734-995-4455</v>
      </c>
      <c r="L7" s="4" t="s">
        <v>1148</v>
      </c>
      <c r="M7" s="4" t="s">
        <v>1142</v>
      </c>
      <c r="N7" s="4" t="s">
        <v>1145</v>
      </c>
      <c r="O7" s="4"/>
      <c r="P7" s="4" t="s">
        <v>1146</v>
      </c>
      <c r="Q7" s="4" t="s">
        <v>458</v>
      </c>
      <c r="R7" s="4" t="str">
        <f>"48103"</f>
        <v>48103</v>
      </c>
      <c r="S7" s="4" t="s">
        <v>1147</v>
      </c>
      <c r="T7" s="6">
        <v>44196</v>
      </c>
      <c r="U7" s="4" t="s">
        <v>29</v>
      </c>
    </row>
    <row r="8" spans="1:21" s="3" customFormat="1" ht="28.8" x14ac:dyDescent="0.3">
      <c r="A8" s="4" t="str">
        <f>"CB00141F"</f>
        <v>CB00141F</v>
      </c>
      <c r="B8" s="4" t="s">
        <v>1515</v>
      </c>
      <c r="C8" s="4" t="s">
        <v>367</v>
      </c>
      <c r="D8" s="4" t="s">
        <v>1516</v>
      </c>
      <c r="E8" s="4" t="s">
        <v>1517</v>
      </c>
      <c r="F8" s="4"/>
      <c r="G8" s="4" t="s">
        <v>1518</v>
      </c>
      <c r="H8" s="4" t="s">
        <v>26</v>
      </c>
      <c r="I8" s="4" t="str">
        <f>"44334"</f>
        <v>44334</v>
      </c>
      <c r="J8" s="4" t="s">
        <v>217</v>
      </c>
      <c r="K8" s="4" t="str">
        <f>"(P) 234-738-0729 (M) 330-329-3759"</f>
        <v>(P) 234-738-0729 (M) 330-329-3759</v>
      </c>
      <c r="L8" s="4" t="s">
        <v>1519</v>
      </c>
      <c r="M8" s="4" t="s">
        <v>1515</v>
      </c>
      <c r="N8" s="4" t="s">
        <v>1520</v>
      </c>
      <c r="O8" s="4"/>
      <c r="P8" s="4" t="s">
        <v>862</v>
      </c>
      <c r="Q8" s="4" t="s">
        <v>26</v>
      </c>
      <c r="R8" s="4" t="str">
        <f>"44312"</f>
        <v>44312</v>
      </c>
      <c r="S8" s="4" t="s">
        <v>217</v>
      </c>
      <c r="T8" s="6">
        <v>44196</v>
      </c>
      <c r="U8" s="4" t="s">
        <v>29</v>
      </c>
    </row>
    <row r="9" spans="1:21" s="3" customFormat="1" ht="28.8" x14ac:dyDescent="0.3">
      <c r="A9" s="4" t="str">
        <f>"CB0009BJ"</f>
        <v>CB0009BJ</v>
      </c>
      <c r="B9" s="4" t="s">
        <v>60</v>
      </c>
      <c r="C9" s="4" t="s">
        <v>61</v>
      </c>
      <c r="D9" s="4" t="s">
        <v>62</v>
      </c>
      <c r="E9" s="4" t="s">
        <v>63</v>
      </c>
      <c r="F9" s="4"/>
      <c r="G9" s="4" t="s">
        <v>64</v>
      </c>
      <c r="H9" s="4" t="s">
        <v>65</v>
      </c>
      <c r="I9" s="4" t="str">
        <f>"60631"</f>
        <v>60631</v>
      </c>
      <c r="J9" s="4" t="s">
        <v>66</v>
      </c>
      <c r="K9" s="4" t="str">
        <f>"(P) 773-594-9302 (F) 773-594-9302 (M) 773-386-8543"</f>
        <v>(P) 773-594-9302 (F) 773-594-9302 (M) 773-386-8543</v>
      </c>
      <c r="L9" s="4" t="s">
        <v>67</v>
      </c>
      <c r="M9" s="4" t="s">
        <v>68</v>
      </c>
      <c r="N9" s="4" t="s">
        <v>69</v>
      </c>
      <c r="O9" s="4"/>
      <c r="P9" s="4" t="s">
        <v>70</v>
      </c>
      <c r="Q9" s="4" t="s">
        <v>26</v>
      </c>
      <c r="R9" s="4" t="str">
        <f>"44024"</f>
        <v>44024</v>
      </c>
      <c r="S9" s="4" t="s">
        <v>71</v>
      </c>
      <c r="T9" s="6">
        <v>44196</v>
      </c>
      <c r="U9" s="4" t="s">
        <v>29</v>
      </c>
    </row>
    <row r="10" spans="1:21" s="3" customFormat="1" ht="28.8" x14ac:dyDescent="0.3">
      <c r="A10" s="4" t="str">
        <f>"CB002A4C"</f>
        <v>CB002A4C</v>
      </c>
      <c r="B10" s="4" t="s">
        <v>1869</v>
      </c>
      <c r="C10" s="4" t="s">
        <v>1870</v>
      </c>
      <c r="D10" s="4" t="s">
        <v>1871</v>
      </c>
      <c r="E10" s="4" t="s">
        <v>1872</v>
      </c>
      <c r="F10" s="4"/>
      <c r="G10" s="4" t="s">
        <v>1873</v>
      </c>
      <c r="H10" s="4" t="s">
        <v>26</v>
      </c>
      <c r="I10" s="4" t="str">
        <f>"44460"</f>
        <v>44460</v>
      </c>
      <c r="J10" s="4" t="s">
        <v>903</v>
      </c>
      <c r="K10" s="4" t="str">
        <f>"(P) 330-332-4897 (P) 330-301-5038"</f>
        <v>(P) 330-332-4897 (P) 330-301-5038</v>
      </c>
      <c r="L10" s="4" t="s">
        <v>1874</v>
      </c>
      <c r="M10" s="4" t="s">
        <v>1869</v>
      </c>
      <c r="N10" s="4" t="s">
        <v>1872</v>
      </c>
      <c r="O10" s="4"/>
      <c r="P10" s="4" t="s">
        <v>1873</v>
      </c>
      <c r="Q10" s="4" t="s">
        <v>26</v>
      </c>
      <c r="R10" s="4" t="str">
        <f>"44460"</f>
        <v>44460</v>
      </c>
      <c r="S10" s="4" t="s">
        <v>903</v>
      </c>
      <c r="T10" s="6">
        <v>44196</v>
      </c>
      <c r="U10" s="4" t="s">
        <v>29</v>
      </c>
    </row>
    <row r="11" spans="1:21" s="3" customFormat="1" ht="28.8" x14ac:dyDescent="0.3">
      <c r="A11" s="4" t="str">
        <f>"CB0009FA"</f>
        <v>CB0009FA</v>
      </c>
      <c r="B11" s="4" t="s">
        <v>72</v>
      </c>
      <c r="C11" s="4" t="s">
        <v>73</v>
      </c>
      <c r="D11" s="4" t="s">
        <v>74</v>
      </c>
      <c r="E11" s="4" t="s">
        <v>75</v>
      </c>
      <c r="F11" s="4"/>
      <c r="G11" s="4" t="s">
        <v>76</v>
      </c>
      <c r="H11" s="4" t="s">
        <v>26</v>
      </c>
      <c r="I11" s="4" t="str">
        <f>"43316"</f>
        <v>43316</v>
      </c>
      <c r="J11" s="4" t="s">
        <v>77</v>
      </c>
      <c r="K11" s="4" t="str">
        <f>"(P) 419-458-0115 (F) 419-408-4393 (M) 419-310-9891"</f>
        <v>(P) 419-458-0115 (F) 419-408-4393 (M) 419-310-9891</v>
      </c>
      <c r="L11" s="4" t="s">
        <v>78</v>
      </c>
      <c r="M11" s="4" t="s">
        <v>72</v>
      </c>
      <c r="N11" s="4" t="s">
        <v>75</v>
      </c>
      <c r="O11" s="4"/>
      <c r="P11" s="4" t="s">
        <v>76</v>
      </c>
      <c r="Q11" s="4" t="s">
        <v>26</v>
      </c>
      <c r="R11" s="4" t="str">
        <f>"43316"</f>
        <v>43316</v>
      </c>
      <c r="S11" s="4" t="s">
        <v>77</v>
      </c>
      <c r="T11" s="6">
        <v>44196</v>
      </c>
      <c r="U11" s="4" t="s">
        <v>29</v>
      </c>
    </row>
    <row r="12" spans="1:21" s="3" customFormat="1" x14ac:dyDescent="0.3">
      <c r="A12" s="4" t="str">
        <f>"CB0026SH"</f>
        <v>CB0026SH</v>
      </c>
      <c r="B12" s="4" t="s">
        <v>1815</v>
      </c>
      <c r="C12" s="4" t="s">
        <v>1816</v>
      </c>
      <c r="D12" s="4" t="s">
        <v>1817</v>
      </c>
      <c r="E12" s="4" t="s">
        <v>1818</v>
      </c>
      <c r="F12" s="4"/>
      <c r="G12" s="4" t="s">
        <v>1819</v>
      </c>
      <c r="H12" s="4" t="s">
        <v>26</v>
      </c>
      <c r="I12" s="4" t="str">
        <f>"45807"</f>
        <v>45807</v>
      </c>
      <c r="J12" s="4" t="s">
        <v>323</v>
      </c>
      <c r="K12" s="4" t="str">
        <f>"(P) 567-242-3491"</f>
        <v>(P) 567-242-3491</v>
      </c>
      <c r="L12" s="4" t="s">
        <v>1820</v>
      </c>
      <c r="M12" s="4" t="s">
        <v>1821</v>
      </c>
      <c r="N12" s="4" t="s">
        <v>1818</v>
      </c>
      <c r="O12" s="4"/>
      <c r="P12" s="4" t="s">
        <v>1819</v>
      </c>
      <c r="Q12" s="4" t="s">
        <v>26</v>
      </c>
      <c r="R12" s="4" t="str">
        <f>"45807"</f>
        <v>45807</v>
      </c>
      <c r="S12" s="4" t="s">
        <v>323</v>
      </c>
      <c r="T12" s="6">
        <v>44196</v>
      </c>
      <c r="U12" s="4" t="s">
        <v>29</v>
      </c>
    </row>
    <row r="13" spans="1:21" s="3" customFormat="1" ht="28.8" x14ac:dyDescent="0.3">
      <c r="A13" s="4" t="str">
        <f>"CB0009H6"</f>
        <v>CB0009H6</v>
      </c>
      <c r="B13" s="4" t="s">
        <v>79</v>
      </c>
      <c r="C13" s="4" t="s">
        <v>80</v>
      </c>
      <c r="D13" s="4" t="s">
        <v>81</v>
      </c>
      <c r="E13" s="4" t="s">
        <v>82</v>
      </c>
      <c r="F13" s="4"/>
      <c r="G13" s="4" t="s">
        <v>83</v>
      </c>
      <c r="H13" s="4" t="s">
        <v>26</v>
      </c>
      <c r="I13" s="4" t="str">
        <f>"43016"</f>
        <v>43016</v>
      </c>
      <c r="J13" s="4" t="s">
        <v>51</v>
      </c>
      <c r="K13" s="4" t="str">
        <f>"(P) 614-766-1001 (P) 614-800-3320 Extn Chery (F) 614-761-0934"</f>
        <v>(P) 614-766-1001 (P) 614-800-3320 Extn Chery (F) 614-761-0934</v>
      </c>
      <c r="L13" s="4" t="s">
        <v>84</v>
      </c>
      <c r="M13" s="4" t="s">
        <v>79</v>
      </c>
      <c r="N13" s="4" t="s">
        <v>82</v>
      </c>
      <c r="O13" s="4"/>
      <c r="P13" s="4" t="s">
        <v>83</v>
      </c>
      <c r="Q13" s="4" t="s">
        <v>26</v>
      </c>
      <c r="R13" s="4" t="str">
        <f>"43016"</f>
        <v>43016</v>
      </c>
      <c r="S13" s="4" t="s">
        <v>51</v>
      </c>
      <c r="T13" s="6">
        <v>44196</v>
      </c>
      <c r="U13" s="4" t="s">
        <v>29</v>
      </c>
    </row>
    <row r="14" spans="1:21" s="3" customFormat="1" x14ac:dyDescent="0.3">
      <c r="A14" s="4" t="str">
        <f>"CB0009J4"</f>
        <v>CB0009J4</v>
      </c>
      <c r="B14" s="4" t="s">
        <v>85</v>
      </c>
      <c r="C14" s="4" t="s">
        <v>86</v>
      </c>
      <c r="D14" s="4" t="s">
        <v>87</v>
      </c>
      <c r="E14" s="4" t="s">
        <v>88</v>
      </c>
      <c r="F14" s="4"/>
      <c r="G14" s="4" t="s">
        <v>89</v>
      </c>
      <c r="H14" s="4" t="s">
        <v>90</v>
      </c>
      <c r="I14" s="4" t="str">
        <f>"66502"</f>
        <v>66502</v>
      </c>
      <c r="J14" s="4" t="s">
        <v>91</v>
      </c>
      <c r="K14" s="4" t="str">
        <f>"(M) 904-599-2904"</f>
        <v>(M) 904-599-2904</v>
      </c>
      <c r="L14" s="4" t="s">
        <v>92</v>
      </c>
      <c r="M14" s="4" t="s">
        <v>85</v>
      </c>
      <c r="N14" s="4" t="s">
        <v>88</v>
      </c>
      <c r="O14" s="4"/>
      <c r="P14" s="4" t="s">
        <v>89</v>
      </c>
      <c r="Q14" s="4" t="s">
        <v>90</v>
      </c>
      <c r="R14" s="4" t="str">
        <f>"66502"</f>
        <v>66502</v>
      </c>
      <c r="S14" s="4" t="s">
        <v>91</v>
      </c>
      <c r="T14" s="6">
        <v>44196</v>
      </c>
      <c r="U14" s="4" t="s">
        <v>29</v>
      </c>
    </row>
    <row r="15" spans="1:21" s="3" customFormat="1" ht="28.8" x14ac:dyDescent="0.3">
      <c r="A15" s="4" t="str">
        <f>"CB0009K2"</f>
        <v>CB0009K2</v>
      </c>
      <c r="B15" s="4" t="s">
        <v>93</v>
      </c>
      <c r="C15" s="4" t="s">
        <v>94</v>
      </c>
      <c r="D15" s="4" t="s">
        <v>95</v>
      </c>
      <c r="E15" s="4" t="s">
        <v>96</v>
      </c>
      <c r="F15" s="4"/>
      <c r="G15" s="4" t="s">
        <v>97</v>
      </c>
      <c r="H15" s="4" t="s">
        <v>26</v>
      </c>
      <c r="I15" s="4" t="str">
        <f>"44705"</f>
        <v>44705</v>
      </c>
      <c r="J15" s="4" t="s">
        <v>98</v>
      </c>
      <c r="K15" s="4" t="str">
        <f>"(M) 404-931-4319"</f>
        <v>(M) 404-931-4319</v>
      </c>
      <c r="L15" s="4" t="s">
        <v>99</v>
      </c>
      <c r="M15" s="4" t="s">
        <v>93</v>
      </c>
      <c r="N15" s="4" t="s">
        <v>96</v>
      </c>
      <c r="O15" s="4"/>
      <c r="P15" s="4" t="s">
        <v>97</v>
      </c>
      <c r="Q15" s="4" t="s">
        <v>26</v>
      </c>
      <c r="R15" s="4" t="str">
        <f>"44705"</f>
        <v>44705</v>
      </c>
      <c r="S15" s="4" t="s">
        <v>98</v>
      </c>
      <c r="T15" s="6">
        <v>44196</v>
      </c>
      <c r="U15" s="4" t="s">
        <v>29</v>
      </c>
    </row>
    <row r="16" spans="1:21" s="3" customFormat="1" ht="28.8" x14ac:dyDescent="0.3">
      <c r="A16" s="4" t="str">
        <f>"CB0009LZ"</f>
        <v>CB0009LZ</v>
      </c>
      <c r="B16" s="4" t="s">
        <v>100</v>
      </c>
      <c r="C16" s="4" t="s">
        <v>101</v>
      </c>
      <c r="D16" s="4" t="s">
        <v>102</v>
      </c>
      <c r="E16" s="4" t="s">
        <v>103</v>
      </c>
      <c r="F16" s="4"/>
      <c r="G16" s="4" t="s">
        <v>104</v>
      </c>
      <c r="H16" s="4" t="s">
        <v>105</v>
      </c>
      <c r="I16" s="4" t="str">
        <f>"32615"</f>
        <v>32615</v>
      </c>
      <c r="J16" s="4" t="s">
        <v>106</v>
      </c>
      <c r="K16" s="4" t="str">
        <f>"(P) 386-462-0091 (M) 770-584-1512"</f>
        <v>(P) 386-462-0091 (M) 770-584-1512</v>
      </c>
      <c r="L16" s="4" t="s">
        <v>107</v>
      </c>
      <c r="M16" s="4" t="s">
        <v>100</v>
      </c>
      <c r="N16" s="4" t="s">
        <v>103</v>
      </c>
      <c r="O16" s="4"/>
      <c r="P16" s="4" t="s">
        <v>104</v>
      </c>
      <c r="Q16" s="4" t="s">
        <v>105</v>
      </c>
      <c r="R16" s="4" t="str">
        <f>"32615"</f>
        <v>32615</v>
      </c>
      <c r="S16" s="4" t="s">
        <v>106</v>
      </c>
      <c r="T16" s="6">
        <v>44196</v>
      </c>
      <c r="U16" s="4" t="s">
        <v>29</v>
      </c>
    </row>
    <row r="17" spans="1:21" s="3" customFormat="1" ht="28.8" x14ac:dyDescent="0.3">
      <c r="A17" s="4" t="str">
        <f>"CB0009NV"</f>
        <v>CB0009NV</v>
      </c>
      <c r="B17" s="4" t="s">
        <v>108</v>
      </c>
      <c r="C17" s="4" t="s">
        <v>109</v>
      </c>
      <c r="D17" s="4" t="s">
        <v>110</v>
      </c>
      <c r="E17" s="4" t="s">
        <v>111</v>
      </c>
      <c r="F17" s="4"/>
      <c r="G17" s="4" t="s">
        <v>112</v>
      </c>
      <c r="H17" s="4" t="s">
        <v>113</v>
      </c>
      <c r="I17" s="4" t="str">
        <f>"27612"</f>
        <v>27612</v>
      </c>
      <c r="J17" s="4" t="s">
        <v>114</v>
      </c>
      <c r="K17" s="4" t="str">
        <f>"(P) 919-368-0985 (M) 919-369-0985"</f>
        <v>(P) 919-368-0985 (M) 919-369-0985</v>
      </c>
      <c r="L17" s="4" t="s">
        <v>115</v>
      </c>
      <c r="M17" s="4" t="s">
        <v>108</v>
      </c>
      <c r="N17" s="4" t="s">
        <v>111</v>
      </c>
      <c r="O17" s="4"/>
      <c r="P17" s="4" t="s">
        <v>112</v>
      </c>
      <c r="Q17" s="4" t="s">
        <v>113</v>
      </c>
      <c r="R17" s="4" t="str">
        <f>"27612"</f>
        <v>27612</v>
      </c>
      <c r="S17" s="4" t="s">
        <v>114</v>
      </c>
      <c r="T17" s="6">
        <v>44196</v>
      </c>
      <c r="U17" s="4" t="s">
        <v>29</v>
      </c>
    </row>
    <row r="18" spans="1:21" s="3" customFormat="1" ht="28.8" x14ac:dyDescent="0.3">
      <c r="A18" s="4" t="str">
        <f>"CB0009TK"</f>
        <v>CB0009TK</v>
      </c>
      <c r="B18" s="4" t="s">
        <v>116</v>
      </c>
      <c r="C18" s="4" t="s">
        <v>117</v>
      </c>
      <c r="D18" s="4" t="s">
        <v>118</v>
      </c>
      <c r="E18" s="4" t="s">
        <v>119</v>
      </c>
      <c r="F18" s="4"/>
      <c r="G18" s="4" t="s">
        <v>120</v>
      </c>
      <c r="H18" s="4" t="s">
        <v>26</v>
      </c>
      <c r="I18" s="4" t="str">
        <f>"44512"</f>
        <v>44512</v>
      </c>
      <c r="J18" s="4" t="s">
        <v>121</v>
      </c>
      <c r="K18" s="4" t="str">
        <f>"(P) 330-788-1064 (F) 330-783-0662"</f>
        <v>(P) 330-788-1064 (F) 330-783-0662</v>
      </c>
      <c r="L18" s="4" t="s">
        <v>122</v>
      </c>
      <c r="M18" s="4" t="s">
        <v>116</v>
      </c>
      <c r="N18" s="4" t="s">
        <v>123</v>
      </c>
      <c r="O18" s="4"/>
      <c r="P18" s="4" t="s">
        <v>124</v>
      </c>
      <c r="Q18" s="4" t="s">
        <v>26</v>
      </c>
      <c r="R18" s="4" t="str">
        <f>"44406"</f>
        <v>44406</v>
      </c>
      <c r="S18" s="4" t="s">
        <v>121</v>
      </c>
      <c r="T18" s="6">
        <v>44196</v>
      </c>
      <c r="U18" s="4" t="s">
        <v>29</v>
      </c>
    </row>
    <row r="19" spans="1:21" s="3" customFormat="1" ht="28.8" x14ac:dyDescent="0.3">
      <c r="A19" s="4" t="str">
        <f>"CB0023M6"</f>
        <v>CB0023M6</v>
      </c>
      <c r="B19" s="4" t="s">
        <v>1812</v>
      </c>
      <c r="C19" s="4" t="s">
        <v>1059</v>
      </c>
      <c r="D19" s="4" t="s">
        <v>112</v>
      </c>
      <c r="E19" s="4" t="s">
        <v>1813</v>
      </c>
      <c r="F19" s="4"/>
      <c r="G19" s="4" t="s">
        <v>472</v>
      </c>
      <c r="H19" s="4" t="s">
        <v>26</v>
      </c>
      <c r="I19" s="4" t="str">
        <f>"45251"</f>
        <v>45251</v>
      </c>
      <c r="J19" s="4" t="s">
        <v>473</v>
      </c>
      <c r="K19" s="4" t="str">
        <f>"(P) 513-931-6139 (F) 513-931-3248 (M) 513-240-5372"</f>
        <v>(P) 513-931-6139 (F) 513-931-3248 (M) 513-240-5372</v>
      </c>
      <c r="L19" s="4" t="s">
        <v>1814</v>
      </c>
      <c r="M19" s="4" t="s">
        <v>1812</v>
      </c>
      <c r="N19" s="4" t="s">
        <v>1813</v>
      </c>
      <c r="O19" s="4"/>
      <c r="P19" s="4" t="s">
        <v>472</v>
      </c>
      <c r="Q19" s="4" t="s">
        <v>26</v>
      </c>
      <c r="R19" s="4" t="str">
        <f>"45231"</f>
        <v>45231</v>
      </c>
      <c r="S19" s="4" t="s">
        <v>473</v>
      </c>
      <c r="T19" s="6">
        <v>44196</v>
      </c>
      <c r="U19" s="4" t="s">
        <v>29</v>
      </c>
    </row>
    <row r="20" spans="1:21" s="3" customFormat="1" x14ac:dyDescent="0.3">
      <c r="A20" s="4" t="str">
        <f>"CB0009UH"</f>
        <v>CB0009UH</v>
      </c>
      <c r="B20" s="4" t="s">
        <v>125</v>
      </c>
      <c r="C20" s="4" t="s">
        <v>126</v>
      </c>
      <c r="D20" s="4" t="s">
        <v>127</v>
      </c>
      <c r="E20" s="4" t="s">
        <v>128</v>
      </c>
      <c r="F20" s="4"/>
      <c r="G20" s="4" t="s">
        <v>129</v>
      </c>
      <c r="H20" s="4" t="s">
        <v>26</v>
      </c>
      <c r="I20" s="4" t="str">
        <f>"43567"</f>
        <v>43567</v>
      </c>
      <c r="J20" s="4" t="s">
        <v>130</v>
      </c>
      <c r="K20" s="4" t="str">
        <f>"(M) 419-374-0130"</f>
        <v>(M) 419-374-0130</v>
      </c>
      <c r="L20" s="4" t="s">
        <v>131</v>
      </c>
      <c r="M20" s="4" t="s">
        <v>125</v>
      </c>
      <c r="N20" s="4" t="s">
        <v>132</v>
      </c>
      <c r="O20" s="4"/>
      <c r="P20" s="4" t="s">
        <v>129</v>
      </c>
      <c r="Q20" s="4" t="s">
        <v>26</v>
      </c>
      <c r="R20" s="4" t="str">
        <f>"43567"</f>
        <v>43567</v>
      </c>
      <c r="S20" s="4" t="s">
        <v>130</v>
      </c>
      <c r="T20" s="6">
        <v>44196</v>
      </c>
      <c r="U20" s="4" t="s">
        <v>29</v>
      </c>
    </row>
    <row r="21" spans="1:21" s="3" customFormat="1" ht="28.8" x14ac:dyDescent="0.3">
      <c r="A21" s="4" t="str">
        <f>"CB000T8J"</f>
        <v>CB000T8J</v>
      </c>
      <c r="B21" s="4" t="s">
        <v>1398</v>
      </c>
      <c r="C21" s="4" t="s">
        <v>1399</v>
      </c>
      <c r="D21" s="4" t="s">
        <v>563</v>
      </c>
      <c r="E21" s="4" t="s">
        <v>1400</v>
      </c>
      <c r="F21" s="4"/>
      <c r="G21" s="4" t="s">
        <v>1401</v>
      </c>
      <c r="H21" s="4" t="s">
        <v>26</v>
      </c>
      <c r="I21" s="4" t="str">
        <f>"44410"</f>
        <v>44410</v>
      </c>
      <c r="J21" s="4" t="s">
        <v>602</v>
      </c>
      <c r="K21" s="4" t="str">
        <f>"(P) 330-442-5464 (M) 330-883-9675"</f>
        <v>(P) 330-442-5464 (M) 330-883-9675</v>
      </c>
      <c r="L21" s="4" t="s">
        <v>1402</v>
      </c>
      <c r="M21" s="4" t="s">
        <v>1398</v>
      </c>
      <c r="N21" s="4" t="s">
        <v>1403</v>
      </c>
      <c r="O21" s="4"/>
      <c r="P21" s="4" t="s">
        <v>1401</v>
      </c>
      <c r="Q21" s="4" t="s">
        <v>26</v>
      </c>
      <c r="R21" s="4" t="str">
        <f>"44410"</f>
        <v>44410</v>
      </c>
      <c r="S21" s="4" t="s">
        <v>602</v>
      </c>
      <c r="T21" s="6">
        <v>44196</v>
      </c>
      <c r="U21" s="4" t="s">
        <v>29</v>
      </c>
    </row>
    <row r="22" spans="1:21" s="3" customFormat="1" ht="28.8" x14ac:dyDescent="0.3">
      <c r="A22" s="4" t="str">
        <f>"CB0009VF"</f>
        <v>CB0009VF</v>
      </c>
      <c r="B22" s="4" t="s">
        <v>133</v>
      </c>
      <c r="C22" s="4" t="s">
        <v>134</v>
      </c>
      <c r="D22" s="4" t="s">
        <v>135</v>
      </c>
      <c r="E22" s="4" t="s">
        <v>136</v>
      </c>
      <c r="F22" s="4"/>
      <c r="G22" s="4" t="s">
        <v>137</v>
      </c>
      <c r="H22" s="4" t="s">
        <v>26</v>
      </c>
      <c r="I22" s="4" t="str">
        <f>"45822"</f>
        <v>45822</v>
      </c>
      <c r="J22" s="4" t="s">
        <v>138</v>
      </c>
      <c r="K22" s="4" t="str">
        <f>"(P) 419-586-2887 (M) 419-852-1115"</f>
        <v>(P) 419-586-2887 (M) 419-852-1115</v>
      </c>
      <c r="L22" s="4" t="s">
        <v>139</v>
      </c>
      <c r="M22" s="4" t="s">
        <v>133</v>
      </c>
      <c r="N22" s="4" t="s">
        <v>136</v>
      </c>
      <c r="O22" s="4"/>
      <c r="P22" s="4" t="s">
        <v>137</v>
      </c>
      <c r="Q22" s="4" t="s">
        <v>26</v>
      </c>
      <c r="R22" s="4" t="str">
        <f>"45822"</f>
        <v>45822</v>
      </c>
      <c r="S22" s="4" t="s">
        <v>138</v>
      </c>
      <c r="T22" s="6">
        <v>44196</v>
      </c>
      <c r="U22" s="4" t="s">
        <v>29</v>
      </c>
    </row>
    <row r="23" spans="1:21" s="3" customFormat="1" ht="28.8" x14ac:dyDescent="0.3">
      <c r="A23" s="4" t="str">
        <f>"CB0009WD"</f>
        <v>CB0009WD</v>
      </c>
      <c r="B23" s="4" t="s">
        <v>140</v>
      </c>
      <c r="C23" s="4" t="s">
        <v>141</v>
      </c>
      <c r="D23" s="4" t="s">
        <v>142</v>
      </c>
      <c r="E23" s="4" t="s">
        <v>143</v>
      </c>
      <c r="F23" s="4"/>
      <c r="G23" s="4" t="s">
        <v>34</v>
      </c>
      <c r="H23" s="4" t="s">
        <v>26</v>
      </c>
      <c r="I23" s="4" t="str">
        <f>"44095"</f>
        <v>44095</v>
      </c>
      <c r="J23" s="4" t="s">
        <v>43</v>
      </c>
      <c r="K23" s="4" t="str">
        <f>"(P) 440-942-1753 (M) 440-429-2152"</f>
        <v>(P) 440-942-1753 (M) 440-429-2152</v>
      </c>
      <c r="L23" s="4" t="s">
        <v>144</v>
      </c>
      <c r="M23" s="4" t="s">
        <v>140</v>
      </c>
      <c r="N23" s="4" t="s">
        <v>143</v>
      </c>
      <c r="O23" s="4"/>
      <c r="P23" s="4" t="s">
        <v>34</v>
      </c>
      <c r="Q23" s="4" t="s">
        <v>26</v>
      </c>
      <c r="R23" s="4" t="str">
        <f>"44095"</f>
        <v>44095</v>
      </c>
      <c r="S23" s="4" t="s">
        <v>35</v>
      </c>
      <c r="T23" s="6">
        <v>44196</v>
      </c>
      <c r="U23" s="4" t="s">
        <v>29</v>
      </c>
    </row>
    <row r="24" spans="1:21" s="3" customFormat="1" ht="28.8" x14ac:dyDescent="0.3">
      <c r="A24" s="4" t="str">
        <f>"CB0009XB"</f>
        <v>CB0009XB</v>
      </c>
      <c r="B24" s="4" t="s">
        <v>145</v>
      </c>
      <c r="C24" s="4" t="s">
        <v>146</v>
      </c>
      <c r="D24" s="4" t="s">
        <v>147</v>
      </c>
      <c r="E24" s="4" t="s">
        <v>148</v>
      </c>
      <c r="F24" s="4"/>
      <c r="G24" s="4" t="s">
        <v>149</v>
      </c>
      <c r="H24" s="4" t="s">
        <v>26</v>
      </c>
      <c r="I24" s="4" t="str">
        <f>"45102"</f>
        <v>45102</v>
      </c>
      <c r="J24" s="4" t="s">
        <v>150</v>
      </c>
      <c r="K24" s="4" t="str">
        <f>"(P) 513-753-9252 (F) 513-753-0338"</f>
        <v>(P) 513-753-9252 (F) 513-753-0338</v>
      </c>
      <c r="L24" s="4"/>
      <c r="M24" s="4" t="s">
        <v>151</v>
      </c>
      <c r="N24" s="4" t="s">
        <v>148</v>
      </c>
      <c r="O24" s="4"/>
      <c r="P24" s="4" t="s">
        <v>149</v>
      </c>
      <c r="Q24" s="4" t="s">
        <v>26</v>
      </c>
      <c r="R24" s="4" t="str">
        <f>"45102"</f>
        <v>45102</v>
      </c>
      <c r="S24" s="4" t="s">
        <v>150</v>
      </c>
      <c r="T24" s="6">
        <v>44196</v>
      </c>
      <c r="U24" s="4" t="s">
        <v>29</v>
      </c>
    </row>
    <row r="25" spans="1:21" s="3" customFormat="1" ht="28.8" x14ac:dyDescent="0.3">
      <c r="A25" s="4" t="str">
        <f>"CB000A01"</f>
        <v>CB000A01</v>
      </c>
      <c r="B25" s="4" t="s">
        <v>152</v>
      </c>
      <c r="C25" s="4" t="s">
        <v>153</v>
      </c>
      <c r="D25" s="4" t="s">
        <v>154</v>
      </c>
      <c r="E25" s="4" t="s">
        <v>155</v>
      </c>
      <c r="F25" s="4"/>
      <c r="G25" s="4" t="s">
        <v>156</v>
      </c>
      <c r="H25" s="4" t="s">
        <v>26</v>
      </c>
      <c r="I25" s="4" t="str">
        <f>"45885"</f>
        <v>45885</v>
      </c>
      <c r="J25" s="4" t="s">
        <v>157</v>
      </c>
      <c r="K25" s="4" t="str">
        <f>"(P) 567-204-1022 (F) 419-501-2287 (M) 567-622-5288"</f>
        <v>(P) 567-204-1022 (F) 419-501-2287 (M) 567-622-5288</v>
      </c>
      <c r="L25" s="4" t="s">
        <v>158</v>
      </c>
      <c r="M25" s="4" t="s">
        <v>152</v>
      </c>
      <c r="N25" s="4" t="s">
        <v>155</v>
      </c>
      <c r="O25" s="4"/>
      <c r="P25" s="4" t="s">
        <v>156</v>
      </c>
      <c r="Q25" s="4" t="s">
        <v>26</v>
      </c>
      <c r="R25" s="4" t="str">
        <f>"45885"</f>
        <v>45885</v>
      </c>
      <c r="S25" s="4" t="s">
        <v>157</v>
      </c>
      <c r="T25" s="6">
        <v>44196</v>
      </c>
      <c r="U25" s="4" t="s">
        <v>29</v>
      </c>
    </row>
    <row r="26" spans="1:21" s="3" customFormat="1" ht="28.8" x14ac:dyDescent="0.3">
      <c r="A26" s="4" t="str">
        <f>"CB002A84"</f>
        <v>CB002A84</v>
      </c>
      <c r="B26" s="4" t="s">
        <v>1889</v>
      </c>
      <c r="C26" s="4" t="s">
        <v>1890</v>
      </c>
      <c r="D26" s="4" t="s">
        <v>998</v>
      </c>
      <c r="E26" s="4" t="s">
        <v>1891</v>
      </c>
      <c r="F26" s="4"/>
      <c r="G26" s="4" t="s">
        <v>684</v>
      </c>
      <c r="H26" s="4" t="s">
        <v>26</v>
      </c>
      <c r="I26" s="4" t="str">
        <f>"45502"</f>
        <v>45502</v>
      </c>
      <c r="J26" s="4" t="s">
        <v>567</v>
      </c>
      <c r="K26" s="4" t="str">
        <f>"(P) 937-969-8351 (M) 937-631-6093"</f>
        <v>(P) 937-969-8351 (M) 937-631-6093</v>
      </c>
      <c r="L26" s="4" t="s">
        <v>1892</v>
      </c>
      <c r="M26" s="4" t="s">
        <v>1889</v>
      </c>
      <c r="N26" s="4" t="s">
        <v>1891</v>
      </c>
      <c r="O26" s="4"/>
      <c r="P26" s="4" t="s">
        <v>684</v>
      </c>
      <c r="Q26" s="4" t="s">
        <v>26</v>
      </c>
      <c r="R26" s="4" t="str">
        <f>"45502"</f>
        <v>45502</v>
      </c>
      <c r="S26" s="4" t="s">
        <v>567</v>
      </c>
      <c r="T26" s="6">
        <v>44196</v>
      </c>
      <c r="U26" s="4" t="s">
        <v>29</v>
      </c>
    </row>
    <row r="27" spans="1:21" s="3" customFormat="1" ht="28.8" x14ac:dyDescent="0.3">
      <c r="A27" s="4" t="str">
        <f>"CB00094Y"</f>
        <v>CB00094Y</v>
      </c>
      <c r="B27" s="4" t="s">
        <v>46</v>
      </c>
      <c r="C27" s="4" t="s">
        <v>47</v>
      </c>
      <c r="D27" s="4" t="s">
        <v>48</v>
      </c>
      <c r="E27" s="4" t="s">
        <v>49</v>
      </c>
      <c r="F27" s="4"/>
      <c r="G27" s="4" t="s">
        <v>50</v>
      </c>
      <c r="H27" s="4" t="s">
        <v>26</v>
      </c>
      <c r="I27" s="4" t="str">
        <f>"43086"</f>
        <v>43086</v>
      </c>
      <c r="J27" s="4" t="s">
        <v>51</v>
      </c>
      <c r="K27" s="4" t="str">
        <f>"(P) 614-470-2378"</f>
        <v>(P) 614-470-2378</v>
      </c>
      <c r="L27" s="4" t="s">
        <v>52</v>
      </c>
      <c r="M27" s="4" t="s">
        <v>46</v>
      </c>
      <c r="N27" s="4" t="s">
        <v>49</v>
      </c>
      <c r="O27" s="4"/>
      <c r="P27" s="4" t="s">
        <v>50</v>
      </c>
      <c r="Q27" s="4" t="s">
        <v>26</v>
      </c>
      <c r="R27" s="4" t="str">
        <f>"43086"</f>
        <v>43086</v>
      </c>
      <c r="S27" s="4" t="s">
        <v>51</v>
      </c>
      <c r="T27" s="6">
        <v>44196</v>
      </c>
      <c r="U27" s="4" t="s">
        <v>29</v>
      </c>
    </row>
    <row r="28" spans="1:21" s="3" customFormat="1" ht="28.8" x14ac:dyDescent="0.3">
      <c r="A28" s="4" t="str">
        <f>"CB0029U1"</f>
        <v>CB0029U1</v>
      </c>
      <c r="B28" s="4" t="s">
        <v>1848</v>
      </c>
      <c r="C28" s="4" t="s">
        <v>1849</v>
      </c>
      <c r="D28" s="4" t="s">
        <v>1850</v>
      </c>
      <c r="E28" s="4" t="s">
        <v>1851</v>
      </c>
      <c r="F28" s="4"/>
      <c r="G28" s="4" t="s">
        <v>1852</v>
      </c>
      <c r="H28" s="4" t="s">
        <v>26</v>
      </c>
      <c r="I28" s="4" t="str">
        <f>"45503"</f>
        <v>45503</v>
      </c>
      <c r="J28" s="4" t="s">
        <v>567</v>
      </c>
      <c r="K28" s="4" t="str">
        <f>"(P) 937-244-6627 (M) 937-450-3633"</f>
        <v>(P) 937-244-6627 (M) 937-450-3633</v>
      </c>
      <c r="L28" s="4" t="s">
        <v>1853</v>
      </c>
      <c r="M28" s="4" t="s">
        <v>1848</v>
      </c>
      <c r="N28" s="4" t="s">
        <v>1854</v>
      </c>
      <c r="O28" s="4"/>
      <c r="P28" s="4" t="s">
        <v>1852</v>
      </c>
      <c r="Q28" s="4" t="s">
        <v>26</v>
      </c>
      <c r="R28" s="4" t="str">
        <f>"45503"</f>
        <v>45503</v>
      </c>
      <c r="S28" s="4" t="s">
        <v>172</v>
      </c>
      <c r="T28" s="6">
        <v>44196</v>
      </c>
      <c r="U28" s="4" t="s">
        <v>29</v>
      </c>
    </row>
    <row r="29" spans="1:21" s="3" customFormat="1" ht="28.8" x14ac:dyDescent="0.3">
      <c r="A29" s="4" t="str">
        <f>"CB0011W4"</f>
        <v>CB0011W4</v>
      </c>
      <c r="B29" s="4" t="s">
        <v>1465</v>
      </c>
      <c r="C29" s="4" t="s">
        <v>1033</v>
      </c>
      <c r="D29" s="4" t="s">
        <v>1466</v>
      </c>
      <c r="E29" s="4" t="s">
        <v>1467</v>
      </c>
      <c r="F29" s="4"/>
      <c r="G29" s="4" t="s">
        <v>1468</v>
      </c>
      <c r="H29" s="4" t="s">
        <v>680</v>
      </c>
      <c r="I29" s="4" t="str">
        <f>"10128"</f>
        <v>10128</v>
      </c>
      <c r="J29" s="4" t="s">
        <v>1469</v>
      </c>
      <c r="K29" s="4" t="str">
        <f>"(P) 646-988-1171 (F) 212-967-7825"</f>
        <v>(P) 646-988-1171 (F) 212-967-7825</v>
      </c>
      <c r="L29" s="4" t="s">
        <v>1470</v>
      </c>
      <c r="M29" s="4" t="s">
        <v>1465</v>
      </c>
      <c r="N29" s="4" t="s">
        <v>1471</v>
      </c>
      <c r="O29" s="4"/>
      <c r="P29" s="4" t="s">
        <v>253</v>
      </c>
      <c r="Q29" s="4" t="s">
        <v>26</v>
      </c>
      <c r="R29" s="4" t="str">
        <f>"43232"</f>
        <v>43232</v>
      </c>
      <c r="S29" s="4" t="s">
        <v>210</v>
      </c>
      <c r="T29" s="6">
        <v>44196</v>
      </c>
      <c r="U29" s="4" t="s">
        <v>29</v>
      </c>
    </row>
    <row r="30" spans="1:21" s="3" customFormat="1" ht="28.8" x14ac:dyDescent="0.3">
      <c r="A30" s="4" t="str">
        <f>"CB0027GZ"</f>
        <v>CB0027GZ</v>
      </c>
      <c r="B30" s="4" t="s">
        <v>1822</v>
      </c>
      <c r="C30" s="4" t="s">
        <v>1823</v>
      </c>
      <c r="D30" s="4" t="s">
        <v>1824</v>
      </c>
      <c r="E30" s="4" t="s">
        <v>1825</v>
      </c>
      <c r="F30" s="4"/>
      <c r="G30" s="4" t="s">
        <v>1736</v>
      </c>
      <c r="H30" s="4" t="s">
        <v>165</v>
      </c>
      <c r="I30" s="4" t="str">
        <f>"16105"</f>
        <v>16105</v>
      </c>
      <c r="J30" s="4" t="s">
        <v>976</v>
      </c>
      <c r="K30" s="4" t="str">
        <f>"(P) 877-277-4779 (M) 724-656-1656"</f>
        <v>(P) 877-277-4779 (M) 724-656-1656</v>
      </c>
      <c r="L30" s="4" t="s">
        <v>1826</v>
      </c>
      <c r="M30" s="4" t="s">
        <v>1827</v>
      </c>
      <c r="N30" s="4" t="s">
        <v>1825</v>
      </c>
      <c r="O30" s="4"/>
      <c r="P30" s="4" t="s">
        <v>1736</v>
      </c>
      <c r="Q30" s="4" t="s">
        <v>26</v>
      </c>
      <c r="R30" s="4" t="str">
        <f>"16105"</f>
        <v>16105</v>
      </c>
      <c r="S30" s="4" t="s">
        <v>976</v>
      </c>
      <c r="T30" s="6">
        <v>44196</v>
      </c>
      <c r="U30" s="4" t="s">
        <v>29</v>
      </c>
    </row>
    <row r="31" spans="1:21" s="3" customFormat="1" ht="28.8" x14ac:dyDescent="0.3">
      <c r="A31" s="4" t="str">
        <f>"CB000A4U"</f>
        <v>CB000A4U</v>
      </c>
      <c r="B31" s="4" t="s">
        <v>159</v>
      </c>
      <c r="C31" s="4" t="s">
        <v>160</v>
      </c>
      <c r="D31" s="4" t="s">
        <v>162</v>
      </c>
      <c r="E31" s="4" t="s">
        <v>163</v>
      </c>
      <c r="F31" s="4"/>
      <c r="G31" s="4" t="s">
        <v>164</v>
      </c>
      <c r="H31" s="4" t="s">
        <v>165</v>
      </c>
      <c r="I31" s="4" t="str">
        <f>"15024"</f>
        <v>15024</v>
      </c>
      <c r="J31" s="4" t="s">
        <v>166</v>
      </c>
      <c r="K31" s="4" t="str">
        <f>"(P) 855-882-1330 (F) 724-768-7354 (M) 724-882-2472"</f>
        <v>(P) 855-882-1330 (F) 724-768-7354 (M) 724-882-2472</v>
      </c>
      <c r="L31" s="4" t="s">
        <v>167</v>
      </c>
      <c r="M31" s="4" t="s">
        <v>159</v>
      </c>
      <c r="N31" s="4" t="s">
        <v>163</v>
      </c>
      <c r="O31" s="4"/>
      <c r="P31" s="4" t="s">
        <v>164</v>
      </c>
      <c r="Q31" s="4" t="s">
        <v>165</v>
      </c>
      <c r="R31" s="4" t="str">
        <f>"15024"</f>
        <v>15024</v>
      </c>
      <c r="S31" s="4" t="s">
        <v>166</v>
      </c>
      <c r="T31" s="6">
        <v>44196</v>
      </c>
      <c r="U31" s="4" t="s">
        <v>29</v>
      </c>
    </row>
    <row r="32" spans="1:21" s="3" customFormat="1" ht="28.8" x14ac:dyDescent="0.3">
      <c r="A32" s="4" t="str">
        <f>"CB000L1R"</f>
        <v>CB000L1R</v>
      </c>
      <c r="B32" s="4" t="s">
        <v>1137</v>
      </c>
      <c r="C32" s="4" t="s">
        <v>1138</v>
      </c>
      <c r="D32" s="4" t="s">
        <v>1139</v>
      </c>
      <c r="E32" s="4" t="s">
        <v>1140</v>
      </c>
      <c r="F32" s="4"/>
      <c r="G32" s="4" t="s">
        <v>722</v>
      </c>
      <c r="H32" s="4" t="s">
        <v>26</v>
      </c>
      <c r="I32" s="4" t="str">
        <f>"44657"</f>
        <v>44657</v>
      </c>
      <c r="J32" s="4" t="s">
        <v>98</v>
      </c>
      <c r="K32" s="4" t="str">
        <f>"(P) 614-450-2247 (M) 330-309-0024"</f>
        <v>(P) 614-450-2247 (M) 330-309-0024</v>
      </c>
      <c r="L32" s="4" t="s">
        <v>1141</v>
      </c>
      <c r="M32" s="4" t="s">
        <v>1137</v>
      </c>
      <c r="N32" s="4" t="s">
        <v>1140</v>
      </c>
      <c r="O32" s="4"/>
      <c r="P32" s="4" t="s">
        <v>722</v>
      </c>
      <c r="Q32" s="4" t="s">
        <v>26</v>
      </c>
      <c r="R32" s="4" t="str">
        <f>"44657"</f>
        <v>44657</v>
      </c>
      <c r="S32" s="4" t="s">
        <v>98</v>
      </c>
      <c r="T32" s="6">
        <v>44196</v>
      </c>
      <c r="U32" s="4" t="s">
        <v>29</v>
      </c>
    </row>
    <row r="33" spans="1:21" s="3" customFormat="1" x14ac:dyDescent="0.3">
      <c r="A33" s="4" t="str">
        <f>"CB000A6Q"</f>
        <v>CB000A6Q</v>
      </c>
      <c r="B33" s="4" t="s">
        <v>168</v>
      </c>
      <c r="C33" s="4" t="s">
        <v>169</v>
      </c>
      <c r="D33" s="4" t="s">
        <v>95</v>
      </c>
      <c r="E33" s="4" t="s">
        <v>170</v>
      </c>
      <c r="F33" s="4"/>
      <c r="G33" s="4" t="s">
        <v>171</v>
      </c>
      <c r="H33" s="4" t="s">
        <v>26</v>
      </c>
      <c r="I33" s="4" t="str">
        <f>"43078"</f>
        <v>43078</v>
      </c>
      <c r="J33" s="4" t="s">
        <v>172</v>
      </c>
      <c r="K33" s="4" t="str">
        <f>"(M) 937-869-8090"</f>
        <v>(M) 937-869-8090</v>
      </c>
      <c r="L33" s="4" t="s">
        <v>173</v>
      </c>
      <c r="M33" s="4" t="s">
        <v>168</v>
      </c>
      <c r="N33" s="4" t="s">
        <v>174</v>
      </c>
      <c r="O33" s="4"/>
      <c r="P33" s="4" t="s">
        <v>171</v>
      </c>
      <c r="Q33" s="4" t="s">
        <v>26</v>
      </c>
      <c r="R33" s="4" t="str">
        <f>"43078"</f>
        <v>43078</v>
      </c>
      <c r="S33" s="4" t="s">
        <v>172</v>
      </c>
      <c r="T33" s="6">
        <v>44196</v>
      </c>
      <c r="U33" s="4" t="s">
        <v>29</v>
      </c>
    </row>
    <row r="34" spans="1:21" s="3" customFormat="1" x14ac:dyDescent="0.3">
      <c r="A34" s="4" t="str">
        <f>"CB001F08"</f>
        <v>CB001F08</v>
      </c>
      <c r="B34" s="4" t="s">
        <v>1705</v>
      </c>
      <c r="C34" s="4" t="s">
        <v>1599</v>
      </c>
      <c r="D34" s="4" t="s">
        <v>1706</v>
      </c>
      <c r="E34" s="4" t="s">
        <v>1707</v>
      </c>
      <c r="F34" s="4"/>
      <c r="G34" s="4" t="s">
        <v>1708</v>
      </c>
      <c r="H34" s="4" t="s">
        <v>26</v>
      </c>
      <c r="I34" s="4" t="str">
        <f>"45331"</f>
        <v>45331</v>
      </c>
      <c r="J34" s="4" t="s">
        <v>1709</v>
      </c>
      <c r="K34" s="4" t="str">
        <f>"(P) 937-423-9300"</f>
        <v>(P) 937-423-9300</v>
      </c>
      <c r="L34" s="4" t="s">
        <v>1710</v>
      </c>
      <c r="M34" s="4" t="s">
        <v>1705</v>
      </c>
      <c r="N34" s="4" t="s">
        <v>1707</v>
      </c>
      <c r="O34" s="4"/>
      <c r="P34" s="4" t="s">
        <v>1708</v>
      </c>
      <c r="Q34" s="4" t="s">
        <v>26</v>
      </c>
      <c r="R34" s="4" t="str">
        <f>"45331"</f>
        <v>45331</v>
      </c>
      <c r="S34" s="4" t="s">
        <v>1709</v>
      </c>
      <c r="T34" s="6">
        <v>44196</v>
      </c>
      <c r="U34" s="4" t="s">
        <v>29</v>
      </c>
    </row>
    <row r="35" spans="1:21" s="3" customFormat="1" x14ac:dyDescent="0.3">
      <c r="A35" s="4" t="str">
        <f>"CB000R9Q"</f>
        <v>CB000R9Q</v>
      </c>
      <c r="B35" s="4" t="s">
        <v>1369</v>
      </c>
      <c r="C35" s="4" t="s">
        <v>386</v>
      </c>
      <c r="D35" s="4" t="s">
        <v>1370</v>
      </c>
      <c r="E35" s="4" t="s">
        <v>1371</v>
      </c>
      <c r="F35" s="4"/>
      <c r="G35" s="4" t="s">
        <v>1372</v>
      </c>
      <c r="H35" s="4" t="s">
        <v>452</v>
      </c>
      <c r="I35" s="4" t="str">
        <f>"40342"</f>
        <v>40342</v>
      </c>
      <c r="J35" s="4" t="s">
        <v>1373</v>
      </c>
      <c r="K35" s="4" t="str">
        <f>"(P) 502-839-5373"</f>
        <v>(P) 502-839-5373</v>
      </c>
      <c r="L35" s="4" t="s">
        <v>1374</v>
      </c>
      <c r="M35" s="4" t="s">
        <v>1369</v>
      </c>
      <c r="N35" s="4" t="s">
        <v>1371</v>
      </c>
      <c r="O35" s="4"/>
      <c r="P35" s="4" t="s">
        <v>1372</v>
      </c>
      <c r="Q35" s="4" t="s">
        <v>452</v>
      </c>
      <c r="R35" s="4" t="str">
        <f>"40342"</f>
        <v>40342</v>
      </c>
      <c r="S35" s="4" t="s">
        <v>1373</v>
      </c>
      <c r="T35" s="6">
        <v>44196</v>
      </c>
      <c r="U35" s="4" t="s">
        <v>29</v>
      </c>
    </row>
    <row r="36" spans="1:21" s="3" customFormat="1" x14ac:dyDescent="0.3">
      <c r="A36" s="4" t="str">
        <f>"CB000A7N"</f>
        <v>CB000A7N</v>
      </c>
      <c r="B36" s="4" t="s">
        <v>175</v>
      </c>
      <c r="C36" s="4" t="s">
        <v>176</v>
      </c>
      <c r="D36" s="4" t="s">
        <v>177</v>
      </c>
      <c r="E36" s="4" t="s">
        <v>178</v>
      </c>
      <c r="F36" s="4"/>
      <c r="G36" s="4" t="s">
        <v>179</v>
      </c>
      <c r="H36" s="4" t="s">
        <v>26</v>
      </c>
      <c r="I36" s="4" t="str">
        <f>"43140"</f>
        <v>43140</v>
      </c>
      <c r="J36" s="4" t="s">
        <v>180</v>
      </c>
      <c r="K36" s="4" t="str">
        <f>"(M) 740-852-7832"</f>
        <v>(M) 740-852-7832</v>
      </c>
      <c r="L36" s="4" t="s">
        <v>181</v>
      </c>
      <c r="M36" s="4" t="s">
        <v>175</v>
      </c>
      <c r="N36" s="4" t="s">
        <v>178</v>
      </c>
      <c r="O36" s="4"/>
      <c r="P36" s="4" t="s">
        <v>179</v>
      </c>
      <c r="Q36" s="4" t="s">
        <v>26</v>
      </c>
      <c r="R36" s="4" t="str">
        <f>"43140"</f>
        <v>43140</v>
      </c>
      <c r="S36" s="4" t="s">
        <v>180</v>
      </c>
      <c r="T36" s="6">
        <v>44196</v>
      </c>
      <c r="U36" s="4" t="s">
        <v>29</v>
      </c>
    </row>
    <row r="37" spans="1:21" s="3" customFormat="1" x14ac:dyDescent="0.3">
      <c r="A37" s="4" t="str">
        <f>"CB000MU2"</f>
        <v>CB000MU2</v>
      </c>
      <c r="B37" s="4" t="s">
        <v>1291</v>
      </c>
      <c r="C37" s="4" t="s">
        <v>1292</v>
      </c>
      <c r="D37" s="4" t="s">
        <v>1293</v>
      </c>
      <c r="E37" s="4" t="s">
        <v>1294</v>
      </c>
      <c r="F37" s="4"/>
      <c r="G37" s="4" t="s">
        <v>1295</v>
      </c>
      <c r="H37" s="4" t="s">
        <v>26</v>
      </c>
      <c r="I37" s="4" t="str">
        <f>"45140"</f>
        <v>45140</v>
      </c>
      <c r="J37" s="4" t="s">
        <v>473</v>
      </c>
      <c r="K37" s="4" t="str">
        <f>"(P) 513-470-1157"</f>
        <v>(P) 513-470-1157</v>
      </c>
      <c r="L37" s="4" t="s">
        <v>1296</v>
      </c>
      <c r="M37" s="4" t="s">
        <v>1291</v>
      </c>
      <c r="N37" s="4" t="s">
        <v>1294</v>
      </c>
      <c r="O37" s="4"/>
      <c r="P37" s="4" t="s">
        <v>1295</v>
      </c>
      <c r="Q37" s="4" t="s">
        <v>26</v>
      </c>
      <c r="R37" s="4" t="str">
        <f>"45140"</f>
        <v>45140</v>
      </c>
      <c r="S37" s="4" t="s">
        <v>473</v>
      </c>
      <c r="T37" s="6">
        <v>44196</v>
      </c>
      <c r="U37" s="4" t="s">
        <v>29</v>
      </c>
    </row>
    <row r="38" spans="1:21" s="3" customFormat="1" x14ac:dyDescent="0.3">
      <c r="A38" s="4" t="str">
        <f>"CB000A8L"</f>
        <v>CB000A8L</v>
      </c>
      <c r="B38" s="4" t="s">
        <v>182</v>
      </c>
      <c r="C38" s="4" t="s">
        <v>31</v>
      </c>
      <c r="D38" s="4" t="s">
        <v>183</v>
      </c>
      <c r="E38" s="4" t="s">
        <v>184</v>
      </c>
      <c r="F38" s="4"/>
      <c r="G38" s="4" t="s">
        <v>185</v>
      </c>
      <c r="H38" s="4" t="s">
        <v>26</v>
      </c>
      <c r="I38" s="4" t="str">
        <f>"44017"</f>
        <v>44017</v>
      </c>
      <c r="J38" s="4" t="s">
        <v>43</v>
      </c>
      <c r="K38" s="4" t="str">
        <f>"(P) 440-234-2034"</f>
        <v>(P) 440-234-2034</v>
      </c>
      <c r="L38" s="4" t="s">
        <v>186</v>
      </c>
      <c r="M38" s="4" t="s">
        <v>182</v>
      </c>
      <c r="N38" s="4" t="s">
        <v>184</v>
      </c>
      <c r="O38" s="4"/>
      <c r="P38" s="4" t="s">
        <v>185</v>
      </c>
      <c r="Q38" s="4" t="s">
        <v>26</v>
      </c>
      <c r="R38" s="4" t="str">
        <f>"44017"</f>
        <v>44017</v>
      </c>
      <c r="S38" s="4" t="s">
        <v>43</v>
      </c>
      <c r="T38" s="6">
        <v>44196</v>
      </c>
      <c r="U38" s="4" t="s">
        <v>29</v>
      </c>
    </row>
    <row r="39" spans="1:21" s="3" customFormat="1" x14ac:dyDescent="0.3">
      <c r="A39" s="4" t="str">
        <f>"CB000MWX"</f>
        <v>CB000MWX</v>
      </c>
      <c r="B39" s="4" t="s">
        <v>1301</v>
      </c>
      <c r="C39" s="4" t="s">
        <v>575</v>
      </c>
      <c r="D39" s="4" t="s">
        <v>1302</v>
      </c>
      <c r="E39" s="4" t="s">
        <v>1303</v>
      </c>
      <c r="F39" s="4"/>
      <c r="G39" s="4" t="s">
        <v>1304</v>
      </c>
      <c r="H39" s="4" t="s">
        <v>1134</v>
      </c>
      <c r="I39" s="4" t="str">
        <f>"37206"</f>
        <v>37206</v>
      </c>
      <c r="J39" s="4" t="s">
        <v>1305</v>
      </c>
      <c r="K39" s="4" t="str">
        <f>"(P) 615-322-9191"</f>
        <v>(P) 615-322-9191</v>
      </c>
      <c r="L39" s="4" t="s">
        <v>1306</v>
      </c>
      <c r="M39" s="4" t="s">
        <v>1301</v>
      </c>
      <c r="N39" s="4" t="s">
        <v>1307</v>
      </c>
      <c r="O39" s="4"/>
      <c r="P39" s="4" t="s">
        <v>1304</v>
      </c>
      <c r="Q39" s="4" t="s">
        <v>1134</v>
      </c>
      <c r="R39" s="4" t="str">
        <f>"37086"</f>
        <v>37086</v>
      </c>
      <c r="S39" s="4" t="s">
        <v>1308</v>
      </c>
      <c r="T39" s="6">
        <v>44196</v>
      </c>
      <c r="U39" s="4" t="s">
        <v>29</v>
      </c>
    </row>
    <row r="40" spans="1:21" s="3" customFormat="1" ht="28.8" x14ac:dyDescent="0.3">
      <c r="A40" s="4" t="str">
        <f>"CB0015SV"</f>
        <v>CB0015SV</v>
      </c>
      <c r="B40" s="4" t="s">
        <v>1545</v>
      </c>
      <c r="C40" s="4" t="s">
        <v>1546</v>
      </c>
      <c r="D40" s="4" t="s">
        <v>1547</v>
      </c>
      <c r="E40" s="4" t="s">
        <v>1548</v>
      </c>
      <c r="F40" s="4"/>
      <c r="G40" s="4" t="s">
        <v>383</v>
      </c>
      <c r="H40" s="4" t="s">
        <v>26</v>
      </c>
      <c r="I40" s="4" t="str">
        <f>"44128"</f>
        <v>44128</v>
      </c>
      <c r="J40" s="4" t="s">
        <v>43</v>
      </c>
      <c r="K40" s="4" t="str">
        <f>"(F) 216-270-4545 (M) 216-632-5669"</f>
        <v>(F) 216-270-4545 (M) 216-632-5669</v>
      </c>
      <c r="L40" s="4" t="s">
        <v>1549</v>
      </c>
      <c r="M40" s="4" t="s">
        <v>1545</v>
      </c>
      <c r="N40" s="4" t="s">
        <v>1550</v>
      </c>
      <c r="O40" s="4"/>
      <c r="P40" s="4" t="s">
        <v>383</v>
      </c>
      <c r="Q40" s="4" t="s">
        <v>26</v>
      </c>
      <c r="R40" s="4" t="str">
        <f>"44128"</f>
        <v>44128</v>
      </c>
      <c r="S40" s="4" t="s">
        <v>43</v>
      </c>
      <c r="T40" s="6">
        <v>44196</v>
      </c>
      <c r="U40" s="4" t="s">
        <v>29</v>
      </c>
    </row>
    <row r="41" spans="1:21" s="3" customFormat="1" x14ac:dyDescent="0.3">
      <c r="A41" s="4" t="str">
        <f>"CB001HHY"</f>
        <v>CB001HHY</v>
      </c>
      <c r="B41" s="4" t="s">
        <v>1747</v>
      </c>
      <c r="C41" s="4" t="s">
        <v>1748</v>
      </c>
      <c r="D41" s="4" t="s">
        <v>1749</v>
      </c>
      <c r="E41" s="4" t="s">
        <v>1750</v>
      </c>
      <c r="F41" s="4"/>
      <c r="G41" s="4" t="s">
        <v>1751</v>
      </c>
      <c r="H41" s="4" t="s">
        <v>26</v>
      </c>
      <c r="I41" s="4" t="str">
        <f>"45383"</f>
        <v>45383</v>
      </c>
      <c r="J41" s="4" t="s">
        <v>330</v>
      </c>
      <c r="K41" s="4" t="str">
        <f>"(P) 937-216-8015"</f>
        <v>(P) 937-216-8015</v>
      </c>
      <c r="L41" s="4" t="s">
        <v>1752</v>
      </c>
      <c r="M41" s="4" t="s">
        <v>1747</v>
      </c>
      <c r="N41" s="4" t="s">
        <v>1750</v>
      </c>
      <c r="O41" s="4"/>
      <c r="P41" s="4" t="s">
        <v>1751</v>
      </c>
      <c r="Q41" s="4" t="s">
        <v>26</v>
      </c>
      <c r="R41" s="4" t="str">
        <f>"45383"</f>
        <v>45383</v>
      </c>
      <c r="S41" s="4" t="s">
        <v>330</v>
      </c>
      <c r="T41" s="6">
        <v>44196</v>
      </c>
      <c r="U41" s="4" t="s">
        <v>29</v>
      </c>
    </row>
    <row r="42" spans="1:21" s="3" customFormat="1" ht="28.8" x14ac:dyDescent="0.3">
      <c r="A42" s="4" t="str">
        <f>"CB0019TB"</f>
        <v>CB0019TB</v>
      </c>
      <c r="B42" s="4" t="s">
        <v>1609</v>
      </c>
      <c r="C42" s="4" t="s">
        <v>276</v>
      </c>
      <c r="D42" s="4" t="s">
        <v>1592</v>
      </c>
      <c r="E42" s="4" t="s">
        <v>1610</v>
      </c>
      <c r="F42" s="4"/>
      <c r="G42" s="4" t="s">
        <v>1611</v>
      </c>
      <c r="H42" s="4" t="s">
        <v>26</v>
      </c>
      <c r="I42" s="4" t="str">
        <f>"44903"</f>
        <v>44903</v>
      </c>
      <c r="J42" s="4" t="s">
        <v>1612</v>
      </c>
      <c r="K42" s="4" t="str">
        <f>"(M) 614-581-0706"</f>
        <v>(M) 614-581-0706</v>
      </c>
      <c r="L42" s="4" t="s">
        <v>1613</v>
      </c>
      <c r="M42" s="4" t="s">
        <v>1609</v>
      </c>
      <c r="N42" s="4" t="s">
        <v>1610</v>
      </c>
      <c r="O42" s="4"/>
      <c r="P42" s="4" t="s">
        <v>1611</v>
      </c>
      <c r="Q42" s="4" t="s">
        <v>26</v>
      </c>
      <c r="R42" s="4" t="str">
        <f>"44903"</f>
        <v>44903</v>
      </c>
      <c r="S42" s="4" t="s">
        <v>1612</v>
      </c>
      <c r="T42" s="6">
        <v>44196</v>
      </c>
      <c r="U42" s="4" t="s">
        <v>29</v>
      </c>
    </row>
    <row r="43" spans="1:21" s="3" customFormat="1" x14ac:dyDescent="0.3">
      <c r="A43" s="4" t="str">
        <f>"CB0014TX"</f>
        <v>CB0014TX</v>
      </c>
      <c r="B43" s="4" t="s">
        <v>1540</v>
      </c>
      <c r="C43" s="4" t="s">
        <v>1541</v>
      </c>
      <c r="D43" s="4" t="s">
        <v>1542</v>
      </c>
      <c r="E43" s="4" t="s">
        <v>1543</v>
      </c>
      <c r="F43" s="4"/>
      <c r="G43" s="4" t="s">
        <v>253</v>
      </c>
      <c r="H43" s="4" t="s">
        <v>26</v>
      </c>
      <c r="I43" s="4" t="str">
        <f>"43207"</f>
        <v>43207</v>
      </c>
      <c r="J43" s="4" t="s">
        <v>210</v>
      </c>
      <c r="K43" s="4" t="str">
        <f>"(P) 614-425-9216"</f>
        <v>(P) 614-425-9216</v>
      </c>
      <c r="L43" s="4" t="s">
        <v>1544</v>
      </c>
      <c r="M43" s="4" t="s">
        <v>1540</v>
      </c>
      <c r="N43" s="4" t="s">
        <v>1543</v>
      </c>
      <c r="O43" s="4"/>
      <c r="P43" s="4" t="s">
        <v>253</v>
      </c>
      <c r="Q43" s="4" t="s">
        <v>26</v>
      </c>
      <c r="R43" s="4" t="str">
        <f>"43207"</f>
        <v>43207</v>
      </c>
      <c r="S43" s="4" t="s">
        <v>210</v>
      </c>
      <c r="T43" s="6">
        <v>44196</v>
      </c>
      <c r="U43" s="4" t="s">
        <v>29</v>
      </c>
    </row>
    <row r="44" spans="1:21" s="3" customFormat="1" x14ac:dyDescent="0.3">
      <c r="A44" s="4" t="str">
        <f>"CB000AE8"</f>
        <v>CB000AE8</v>
      </c>
      <c r="B44" s="4" t="s">
        <v>197</v>
      </c>
      <c r="C44" s="4" t="s">
        <v>198</v>
      </c>
      <c r="D44" s="4" t="s">
        <v>199</v>
      </c>
      <c r="E44" s="4" t="s">
        <v>200</v>
      </c>
      <c r="F44" s="4"/>
      <c r="G44" s="4" t="s">
        <v>201</v>
      </c>
      <c r="H44" s="4" t="s">
        <v>26</v>
      </c>
      <c r="I44" s="4" t="str">
        <f>"44883"</f>
        <v>44883</v>
      </c>
      <c r="J44" s="4" t="s">
        <v>202</v>
      </c>
      <c r="K44" s="4" t="str">
        <f>"(P) 419-447-8095"</f>
        <v>(P) 419-447-8095</v>
      </c>
      <c r="L44" s="4" t="s">
        <v>203</v>
      </c>
      <c r="M44" s="4" t="s">
        <v>197</v>
      </c>
      <c r="N44" s="4" t="s">
        <v>204</v>
      </c>
      <c r="O44" s="4"/>
      <c r="P44" s="4" t="s">
        <v>201</v>
      </c>
      <c r="Q44" s="4" t="s">
        <v>26</v>
      </c>
      <c r="R44" s="4" t="str">
        <f>"44883"</f>
        <v>44883</v>
      </c>
      <c r="S44" s="4" t="s">
        <v>202</v>
      </c>
      <c r="T44" s="6">
        <v>44196</v>
      </c>
      <c r="U44" s="4" t="s">
        <v>29</v>
      </c>
    </row>
    <row r="45" spans="1:21" s="3" customFormat="1" x14ac:dyDescent="0.3">
      <c r="A45" s="4" t="str">
        <f>"CB000AF6"</f>
        <v>CB000AF6</v>
      </c>
      <c r="B45" s="4" t="s">
        <v>205</v>
      </c>
      <c r="C45" s="4" t="s">
        <v>206</v>
      </c>
      <c r="D45" s="4" t="s">
        <v>207</v>
      </c>
      <c r="E45" s="4" t="s">
        <v>208</v>
      </c>
      <c r="F45" s="4"/>
      <c r="G45" s="4" t="s">
        <v>209</v>
      </c>
      <c r="H45" s="4" t="s">
        <v>26</v>
      </c>
      <c r="I45" s="4" t="str">
        <f>"43123"</f>
        <v>43123</v>
      </c>
      <c r="J45" s="4" t="s">
        <v>210</v>
      </c>
      <c r="K45" s="4" t="str">
        <f>"(P) 419-307-1561"</f>
        <v>(P) 419-307-1561</v>
      </c>
      <c r="L45" s="4" t="s">
        <v>211</v>
      </c>
      <c r="M45" s="4" t="s">
        <v>205</v>
      </c>
      <c r="N45" s="4" t="s">
        <v>208</v>
      </c>
      <c r="O45" s="4"/>
      <c r="P45" s="4" t="s">
        <v>209</v>
      </c>
      <c r="Q45" s="4" t="s">
        <v>26</v>
      </c>
      <c r="R45" s="4" t="str">
        <f>"43123"</f>
        <v>43123</v>
      </c>
      <c r="S45" s="4" t="s">
        <v>210</v>
      </c>
      <c r="T45" s="6">
        <v>44196</v>
      </c>
      <c r="U45" s="4" t="s">
        <v>29</v>
      </c>
    </row>
    <row r="46" spans="1:21" s="3" customFormat="1" x14ac:dyDescent="0.3">
      <c r="A46" s="4" t="str">
        <f>"CB000AG4"</f>
        <v>CB000AG4</v>
      </c>
      <c r="B46" s="4" t="s">
        <v>212</v>
      </c>
      <c r="C46" s="4" t="s">
        <v>146</v>
      </c>
      <c r="D46" s="4" t="s">
        <v>213</v>
      </c>
      <c r="E46" s="4" t="s">
        <v>214</v>
      </c>
      <c r="F46" s="4" t="s">
        <v>215</v>
      </c>
      <c r="G46" s="4" t="s">
        <v>216</v>
      </c>
      <c r="H46" s="4" t="s">
        <v>26</v>
      </c>
      <c r="I46" s="4" t="str">
        <f>"44067"</f>
        <v>44067</v>
      </c>
      <c r="J46" s="4" t="s">
        <v>217</v>
      </c>
      <c r="K46" s="4" t="str">
        <f>"(P) 440-567-8933"</f>
        <v>(P) 440-567-8933</v>
      </c>
      <c r="L46" s="4" t="s">
        <v>218</v>
      </c>
      <c r="M46" s="4" t="s">
        <v>212</v>
      </c>
      <c r="N46" s="4" t="s">
        <v>219</v>
      </c>
      <c r="O46" s="4"/>
      <c r="P46" s="4" t="s">
        <v>220</v>
      </c>
      <c r="Q46" s="4" t="s">
        <v>26</v>
      </c>
      <c r="R46" s="4" t="str">
        <f>"44146"</f>
        <v>44146</v>
      </c>
      <c r="S46" s="4" t="s">
        <v>43</v>
      </c>
      <c r="T46" s="6">
        <v>44196</v>
      </c>
      <c r="U46" s="4" t="s">
        <v>29</v>
      </c>
    </row>
    <row r="47" spans="1:21" s="3" customFormat="1" x14ac:dyDescent="0.3">
      <c r="A47" s="4" t="str">
        <f>"CB0011GY"</f>
        <v>CB0011GY</v>
      </c>
      <c r="B47" s="4" t="s">
        <v>1454</v>
      </c>
      <c r="C47" s="4" t="s">
        <v>1455</v>
      </c>
      <c r="D47" s="4" t="s">
        <v>1456</v>
      </c>
      <c r="E47" s="4" t="s">
        <v>1457</v>
      </c>
      <c r="F47" s="4"/>
      <c r="G47" s="4" t="s">
        <v>376</v>
      </c>
      <c r="H47" s="4" t="s">
        <v>26</v>
      </c>
      <c r="I47" s="4" t="str">
        <f>"44011"</f>
        <v>44011</v>
      </c>
      <c r="J47" s="4" t="s">
        <v>377</v>
      </c>
      <c r="K47" s="4" t="str">
        <f>"(M) 440-344-2686"</f>
        <v>(M) 440-344-2686</v>
      </c>
      <c r="L47" s="4" t="s">
        <v>1458</v>
      </c>
      <c r="M47" s="4" t="s">
        <v>1454</v>
      </c>
      <c r="N47" s="4" t="s">
        <v>1459</v>
      </c>
      <c r="O47" s="4"/>
      <c r="P47" s="4" t="s">
        <v>1460</v>
      </c>
      <c r="Q47" s="4" t="s">
        <v>26</v>
      </c>
      <c r="R47" s="4" t="str">
        <f>"44212"</f>
        <v>44212</v>
      </c>
      <c r="S47" s="4" t="s">
        <v>501</v>
      </c>
      <c r="T47" s="6">
        <v>44196</v>
      </c>
      <c r="U47" s="4" t="s">
        <v>29</v>
      </c>
    </row>
    <row r="48" spans="1:21" s="3" customFormat="1" x14ac:dyDescent="0.3">
      <c r="A48" s="4" t="str">
        <f>"CB000ANR"</f>
        <v>CB000ANR</v>
      </c>
      <c r="B48" s="4" t="s">
        <v>221</v>
      </c>
      <c r="C48" s="4" t="s">
        <v>38</v>
      </c>
      <c r="D48" s="4" t="s">
        <v>222</v>
      </c>
      <c r="E48" s="4" t="s">
        <v>223</v>
      </c>
      <c r="F48" s="4"/>
      <c r="G48" s="4" t="s">
        <v>224</v>
      </c>
      <c r="H48" s="4" t="s">
        <v>225</v>
      </c>
      <c r="I48" s="4" t="str">
        <f>"07979"</f>
        <v>07979</v>
      </c>
      <c r="J48" s="4" t="s">
        <v>226</v>
      </c>
      <c r="K48" s="4" t="str">
        <f>"(P) 908-625-2005"</f>
        <v>(P) 908-625-2005</v>
      </c>
      <c r="L48" s="4" t="s">
        <v>227</v>
      </c>
      <c r="M48" s="4" t="s">
        <v>221</v>
      </c>
      <c r="N48" s="4" t="s">
        <v>228</v>
      </c>
      <c r="O48" s="4"/>
      <c r="P48" s="4" t="s">
        <v>224</v>
      </c>
      <c r="Q48" s="4" t="s">
        <v>225</v>
      </c>
      <c r="R48" s="4" t="str">
        <f>"07979"</f>
        <v>07979</v>
      </c>
      <c r="S48" s="4" t="s">
        <v>226</v>
      </c>
      <c r="T48" s="6">
        <v>44196</v>
      </c>
      <c r="U48" s="4" t="s">
        <v>29</v>
      </c>
    </row>
    <row r="49" spans="1:21" s="3" customFormat="1" ht="28.8" x14ac:dyDescent="0.3">
      <c r="A49" s="4" t="str">
        <f>"CB001HLS"</f>
        <v>CB001HLS</v>
      </c>
      <c r="B49" s="4" t="s">
        <v>1762</v>
      </c>
      <c r="C49" s="4" t="s">
        <v>1763</v>
      </c>
      <c r="D49" s="4" t="s">
        <v>1764</v>
      </c>
      <c r="E49" s="4" t="s">
        <v>1765</v>
      </c>
      <c r="F49" s="4"/>
      <c r="G49" s="4" t="s">
        <v>1766</v>
      </c>
      <c r="H49" s="4" t="s">
        <v>26</v>
      </c>
      <c r="I49" s="4" t="str">
        <f>"44095"</f>
        <v>44095</v>
      </c>
      <c r="J49" s="4" t="s">
        <v>35</v>
      </c>
      <c r="K49" s="4" t="str">
        <f>"(P) 216-242-7007"</f>
        <v>(P) 216-242-7007</v>
      </c>
      <c r="L49" s="4" t="s">
        <v>1767</v>
      </c>
      <c r="M49" s="4" t="s">
        <v>1762</v>
      </c>
      <c r="N49" s="4" t="s">
        <v>1765</v>
      </c>
      <c r="O49" s="4"/>
      <c r="P49" s="4" t="s">
        <v>1766</v>
      </c>
      <c r="Q49" s="4" t="s">
        <v>26</v>
      </c>
      <c r="R49" s="4" t="str">
        <f>"44095"</f>
        <v>44095</v>
      </c>
      <c r="S49" s="4" t="s">
        <v>35</v>
      </c>
      <c r="T49" s="6">
        <v>44196</v>
      </c>
      <c r="U49" s="4" t="s">
        <v>29</v>
      </c>
    </row>
    <row r="50" spans="1:21" s="3" customFormat="1" x14ac:dyDescent="0.3">
      <c r="A50" s="4" t="str">
        <f>"CB000AQM"</f>
        <v>CB000AQM</v>
      </c>
      <c r="B50" s="4" t="s">
        <v>229</v>
      </c>
      <c r="C50" s="4" t="s">
        <v>230</v>
      </c>
      <c r="D50" s="4" t="s">
        <v>231</v>
      </c>
      <c r="E50" s="4" t="s">
        <v>232</v>
      </c>
      <c r="F50" s="4"/>
      <c r="G50" s="4" t="s">
        <v>233</v>
      </c>
      <c r="H50" s="4" t="s">
        <v>26</v>
      </c>
      <c r="I50" s="4" t="str">
        <f>"45651"</f>
        <v>45651</v>
      </c>
      <c r="J50" s="4" t="s">
        <v>234</v>
      </c>
      <c r="K50" s="4" t="str">
        <f>"(P) 740-596-8235"</f>
        <v>(P) 740-596-8235</v>
      </c>
      <c r="L50" s="4" t="s">
        <v>235</v>
      </c>
      <c r="M50" s="4" t="s">
        <v>229</v>
      </c>
      <c r="N50" s="4" t="s">
        <v>232</v>
      </c>
      <c r="O50" s="4"/>
      <c r="P50" s="4" t="s">
        <v>233</v>
      </c>
      <c r="Q50" s="4" t="s">
        <v>26</v>
      </c>
      <c r="R50" s="4" t="str">
        <f>"45651"</f>
        <v>45651</v>
      </c>
      <c r="S50" s="4" t="s">
        <v>234</v>
      </c>
      <c r="T50" s="6">
        <v>44196</v>
      </c>
      <c r="U50" s="4" t="s">
        <v>29</v>
      </c>
    </row>
    <row r="51" spans="1:21" s="3" customFormat="1" x14ac:dyDescent="0.3">
      <c r="A51" s="4" t="str">
        <f>"CB0013S4"</f>
        <v>CB0013S4</v>
      </c>
      <c r="B51" s="4" t="s">
        <v>1499</v>
      </c>
      <c r="C51" s="4" t="s">
        <v>1500</v>
      </c>
      <c r="D51" s="4" t="s">
        <v>1501</v>
      </c>
      <c r="E51" s="4" t="s">
        <v>1502</v>
      </c>
      <c r="F51" s="4"/>
      <c r="G51" s="4" t="s">
        <v>488</v>
      </c>
      <c r="H51" s="4" t="s">
        <v>26</v>
      </c>
      <c r="I51" s="4" t="str">
        <f>"43064"</f>
        <v>43064</v>
      </c>
      <c r="J51" s="4" t="s">
        <v>489</v>
      </c>
      <c r="K51" s="4" t="str">
        <f>"(M) 614-496-6902"</f>
        <v>(M) 614-496-6902</v>
      </c>
      <c r="L51" s="4" t="s">
        <v>1503</v>
      </c>
      <c r="M51" s="4" t="s">
        <v>1499</v>
      </c>
      <c r="N51" s="4" t="s">
        <v>1502</v>
      </c>
      <c r="O51" s="4"/>
      <c r="P51" s="4" t="s">
        <v>488</v>
      </c>
      <c r="Q51" s="4" t="s">
        <v>26</v>
      </c>
      <c r="R51" s="4" t="str">
        <f>"43064"</f>
        <v>43064</v>
      </c>
      <c r="S51" s="4" t="s">
        <v>489</v>
      </c>
      <c r="T51" s="6">
        <v>44196</v>
      </c>
      <c r="U51" s="4" t="s">
        <v>29</v>
      </c>
    </row>
    <row r="52" spans="1:21" s="3" customFormat="1" x14ac:dyDescent="0.3">
      <c r="A52" s="4" t="str">
        <f>"CB000ARK"</f>
        <v>CB000ARK</v>
      </c>
      <c r="B52" s="4" t="s">
        <v>236</v>
      </c>
      <c r="C52" s="4" t="s">
        <v>230</v>
      </c>
      <c r="D52" s="4" t="s">
        <v>237</v>
      </c>
      <c r="E52" s="4" t="s">
        <v>238</v>
      </c>
      <c r="F52" s="4"/>
      <c r="G52" s="4" t="s">
        <v>239</v>
      </c>
      <c r="H52" s="4" t="s">
        <v>26</v>
      </c>
      <c r="I52" s="4" t="str">
        <f>"44125"</f>
        <v>44125</v>
      </c>
      <c r="J52" s="4" t="s">
        <v>43</v>
      </c>
      <c r="K52" s="4" t="str">
        <f>"(M) 216-533-5036"</f>
        <v>(M) 216-533-5036</v>
      </c>
      <c r="L52" s="4" t="s">
        <v>240</v>
      </c>
      <c r="M52" s="4" t="s">
        <v>236</v>
      </c>
      <c r="N52" s="4" t="s">
        <v>241</v>
      </c>
      <c r="O52" s="4"/>
      <c r="P52" s="4" t="s">
        <v>242</v>
      </c>
      <c r="Q52" s="4" t="s">
        <v>26</v>
      </c>
      <c r="R52" s="4" t="str">
        <f>"44255"</f>
        <v>44255</v>
      </c>
      <c r="S52" s="4" t="s">
        <v>243</v>
      </c>
      <c r="T52" s="6">
        <v>44196</v>
      </c>
      <c r="U52" s="4" t="s">
        <v>29</v>
      </c>
    </row>
    <row r="53" spans="1:21" s="3" customFormat="1" x14ac:dyDescent="0.3">
      <c r="A53" s="4" t="str">
        <f>"CB0018W9"</f>
        <v>CB0018W9</v>
      </c>
      <c r="B53" s="4" t="s">
        <v>1577</v>
      </c>
      <c r="C53" s="4" t="s">
        <v>1578</v>
      </c>
      <c r="D53" s="4" t="s">
        <v>1579</v>
      </c>
      <c r="E53" s="4" t="s">
        <v>1580</v>
      </c>
      <c r="F53" s="4"/>
      <c r="G53" s="4" t="s">
        <v>1581</v>
      </c>
      <c r="H53" s="4" t="s">
        <v>26</v>
      </c>
      <c r="I53" s="4" t="str">
        <f>"43068"</f>
        <v>43068</v>
      </c>
      <c r="J53" s="4" t="s">
        <v>548</v>
      </c>
      <c r="K53" s="4" t="str">
        <f>"(P) 614-452-2521"</f>
        <v>(P) 614-452-2521</v>
      </c>
      <c r="L53" s="4" t="s">
        <v>1582</v>
      </c>
      <c r="M53" s="4" t="s">
        <v>1577</v>
      </c>
      <c r="N53" s="4" t="s">
        <v>1580</v>
      </c>
      <c r="O53" s="4"/>
      <c r="P53" s="4" t="s">
        <v>1581</v>
      </c>
      <c r="Q53" s="4" t="s">
        <v>26</v>
      </c>
      <c r="R53" s="4" t="str">
        <f>"43068"</f>
        <v>43068</v>
      </c>
      <c r="S53" s="4" t="s">
        <v>548</v>
      </c>
      <c r="T53" s="6">
        <v>44196</v>
      </c>
      <c r="U53" s="4" t="s">
        <v>29</v>
      </c>
    </row>
    <row r="54" spans="1:21" s="3" customFormat="1" ht="28.8" x14ac:dyDescent="0.3">
      <c r="A54" s="4" t="str">
        <f>"CB000AX7"</f>
        <v>CB000AX7</v>
      </c>
      <c r="B54" s="4" t="s">
        <v>244</v>
      </c>
      <c r="C54" s="4" t="s">
        <v>245</v>
      </c>
      <c r="D54" s="4" t="s">
        <v>246</v>
      </c>
      <c r="E54" s="4" t="s">
        <v>247</v>
      </c>
      <c r="F54" s="4"/>
      <c r="G54" s="4" t="s">
        <v>83</v>
      </c>
      <c r="H54" s="4" t="s">
        <v>26</v>
      </c>
      <c r="I54" s="4" t="str">
        <f>"43017"</f>
        <v>43017</v>
      </c>
      <c r="J54" s="4" t="s">
        <v>210</v>
      </c>
      <c r="K54" s="4" t="str">
        <f>"(P) 614-239-0943"</f>
        <v>(P) 614-239-0943</v>
      </c>
      <c r="L54" s="4" t="s">
        <v>248</v>
      </c>
      <c r="M54" s="4" t="s">
        <v>244</v>
      </c>
      <c r="N54" s="4" t="s">
        <v>247</v>
      </c>
      <c r="O54" s="4"/>
      <c r="P54" s="4" t="s">
        <v>83</v>
      </c>
      <c r="Q54" s="4" t="s">
        <v>26</v>
      </c>
      <c r="R54" s="4" t="str">
        <f>"43017"</f>
        <v>43017</v>
      </c>
      <c r="S54" s="4" t="s">
        <v>210</v>
      </c>
      <c r="T54" s="6">
        <v>44196</v>
      </c>
      <c r="U54" s="4" t="s">
        <v>29</v>
      </c>
    </row>
    <row r="55" spans="1:21" s="3" customFormat="1" x14ac:dyDescent="0.3">
      <c r="A55" s="4" t="str">
        <f>"CB000AZ3"</f>
        <v>CB000AZ3</v>
      </c>
      <c r="B55" s="4" t="s">
        <v>249</v>
      </c>
      <c r="C55" s="4" t="s">
        <v>250</v>
      </c>
      <c r="D55" s="4" t="s">
        <v>251</v>
      </c>
      <c r="E55" s="4" t="s">
        <v>252</v>
      </c>
      <c r="F55" s="4"/>
      <c r="G55" s="4" t="s">
        <v>253</v>
      </c>
      <c r="H55" s="4" t="s">
        <v>26</v>
      </c>
      <c r="I55" s="4" t="str">
        <f>"43213"</f>
        <v>43213</v>
      </c>
      <c r="J55" s="4" t="s">
        <v>210</v>
      </c>
      <c r="K55" s="4" t="str">
        <f>"(M) 614-578-0921"</f>
        <v>(M) 614-578-0921</v>
      </c>
      <c r="L55" s="4" t="s">
        <v>254</v>
      </c>
      <c r="M55" s="4" t="s">
        <v>255</v>
      </c>
      <c r="N55" s="4" t="s">
        <v>252</v>
      </c>
      <c r="O55" s="4"/>
      <c r="P55" s="4" t="s">
        <v>253</v>
      </c>
      <c r="Q55" s="4" t="s">
        <v>26</v>
      </c>
      <c r="R55" s="4" t="str">
        <f>"43213"</f>
        <v>43213</v>
      </c>
      <c r="S55" s="4" t="s">
        <v>210</v>
      </c>
      <c r="T55" s="6">
        <v>44196</v>
      </c>
      <c r="U55" s="4" t="s">
        <v>29</v>
      </c>
    </row>
    <row r="56" spans="1:21" s="3" customFormat="1" ht="28.8" x14ac:dyDescent="0.3">
      <c r="A56" s="4" t="str">
        <f>"CB000TY3"</f>
        <v>CB000TY3</v>
      </c>
      <c r="B56" s="4" t="s">
        <v>1415</v>
      </c>
      <c r="C56" s="4" t="s">
        <v>1416</v>
      </c>
      <c r="D56" s="4" t="s">
        <v>1417</v>
      </c>
      <c r="E56" s="4" t="s">
        <v>1418</v>
      </c>
      <c r="F56" s="4"/>
      <c r="G56" s="4" t="s">
        <v>1419</v>
      </c>
      <c r="H56" s="4" t="s">
        <v>26</v>
      </c>
      <c r="I56" s="4" t="str">
        <f>"43044"</f>
        <v>43044</v>
      </c>
      <c r="J56" s="4" t="s">
        <v>172</v>
      </c>
      <c r="K56" s="4" t="str">
        <f>"(P) 937-834-5326 (F) 937-834-5171 (M) 937-408-8112"</f>
        <v>(P) 937-834-5326 (F) 937-834-5171 (M) 937-408-8112</v>
      </c>
      <c r="L56" s="4" t="s">
        <v>1420</v>
      </c>
      <c r="M56" s="4" t="s">
        <v>1415</v>
      </c>
      <c r="N56" s="4" t="s">
        <v>1418</v>
      </c>
      <c r="O56" s="4"/>
      <c r="P56" s="4" t="s">
        <v>1419</v>
      </c>
      <c r="Q56" s="4" t="s">
        <v>26</v>
      </c>
      <c r="R56" s="4" t="str">
        <f>"43044"</f>
        <v>43044</v>
      </c>
      <c r="S56" s="4" t="s">
        <v>172</v>
      </c>
      <c r="T56" s="6">
        <v>44196</v>
      </c>
      <c r="U56" s="4" t="s">
        <v>29</v>
      </c>
    </row>
    <row r="57" spans="1:21" s="3" customFormat="1" x14ac:dyDescent="0.3">
      <c r="A57" s="4" t="str">
        <f>"CB0014FN"</f>
        <v>CB0014FN</v>
      </c>
      <c r="B57" s="4" t="s">
        <v>1531</v>
      </c>
      <c r="C57" s="4" t="s">
        <v>1532</v>
      </c>
      <c r="D57" s="4" t="s">
        <v>854</v>
      </c>
      <c r="E57" s="4" t="s">
        <v>1533</v>
      </c>
      <c r="F57" s="4"/>
      <c r="G57" s="4" t="s">
        <v>1534</v>
      </c>
      <c r="H57" s="4" t="s">
        <v>26</v>
      </c>
      <c r="I57" s="4" t="str">
        <f>"45647"</f>
        <v>45647</v>
      </c>
      <c r="J57" s="4" t="s">
        <v>234</v>
      </c>
      <c r="K57" s="4" t="str">
        <f>"(P) 740-887-2994"</f>
        <v>(P) 740-887-2994</v>
      </c>
      <c r="L57" s="4"/>
      <c r="M57" s="4" t="s">
        <v>1531</v>
      </c>
      <c r="N57" s="4" t="s">
        <v>1533</v>
      </c>
      <c r="O57" s="4"/>
      <c r="P57" s="4" t="s">
        <v>1534</v>
      </c>
      <c r="Q57" s="4" t="s">
        <v>26</v>
      </c>
      <c r="R57" s="4" t="str">
        <f>"45647"</f>
        <v>45647</v>
      </c>
      <c r="S57" s="4" t="s">
        <v>234</v>
      </c>
      <c r="T57" s="6">
        <v>44196</v>
      </c>
      <c r="U57" s="4" t="s">
        <v>29</v>
      </c>
    </row>
    <row r="58" spans="1:21" s="3" customFormat="1" x14ac:dyDescent="0.3">
      <c r="A58" s="4" t="str">
        <f>"CB000QL6"</f>
        <v>CB000QL6</v>
      </c>
      <c r="B58" s="4" t="s">
        <v>1348</v>
      </c>
      <c r="C58" s="4" t="s">
        <v>1349</v>
      </c>
      <c r="D58" s="4" t="s">
        <v>1350</v>
      </c>
      <c r="E58" s="4" t="s">
        <v>1351</v>
      </c>
      <c r="F58" s="4"/>
      <c r="G58" s="4" t="s">
        <v>50</v>
      </c>
      <c r="H58" s="4" t="s">
        <v>26</v>
      </c>
      <c r="I58" s="4" t="str">
        <f>"43081"</f>
        <v>43081</v>
      </c>
      <c r="J58" s="4" t="s">
        <v>210</v>
      </c>
      <c r="K58" s="4" t="str">
        <f>"(P) 614-517-8695"</f>
        <v>(P) 614-517-8695</v>
      </c>
      <c r="L58" s="4" t="s">
        <v>1352</v>
      </c>
      <c r="M58" s="4" t="s">
        <v>1348</v>
      </c>
      <c r="N58" s="4" t="s">
        <v>1351</v>
      </c>
      <c r="O58" s="4"/>
      <c r="P58" s="4" t="s">
        <v>50</v>
      </c>
      <c r="Q58" s="4" t="s">
        <v>26</v>
      </c>
      <c r="R58" s="4" t="str">
        <f>"43081"</f>
        <v>43081</v>
      </c>
      <c r="S58" s="4" t="s">
        <v>210</v>
      </c>
      <c r="T58" s="6">
        <v>44196</v>
      </c>
      <c r="U58" s="4" t="s">
        <v>29</v>
      </c>
    </row>
    <row r="59" spans="1:21" s="3" customFormat="1" ht="28.8" x14ac:dyDescent="0.3">
      <c r="A59" s="4" t="str">
        <f>"CB000B3S"</f>
        <v>CB000B3S</v>
      </c>
      <c r="B59" s="4" t="s">
        <v>262</v>
      </c>
      <c r="C59" s="4" t="s">
        <v>263</v>
      </c>
      <c r="D59" s="4" t="s">
        <v>264</v>
      </c>
      <c r="E59" s="4" t="s">
        <v>265</v>
      </c>
      <c r="F59" s="4"/>
      <c r="G59" s="4" t="s">
        <v>266</v>
      </c>
      <c r="H59" s="4" t="s">
        <v>26</v>
      </c>
      <c r="I59" s="4" t="str">
        <f>"44060"</f>
        <v>44060</v>
      </c>
      <c r="J59" s="4" t="s">
        <v>35</v>
      </c>
      <c r="K59" s="4" t="str">
        <f>"(P) 440-209-8813 (F) 440-209-8893 (M) 216-440-5626"</f>
        <v>(P) 440-209-8813 (F) 440-209-8893 (M) 216-440-5626</v>
      </c>
      <c r="L59" s="4" t="s">
        <v>267</v>
      </c>
      <c r="M59" s="4" t="s">
        <v>262</v>
      </c>
      <c r="N59" s="4" t="s">
        <v>265</v>
      </c>
      <c r="O59" s="4"/>
      <c r="P59" s="4" t="s">
        <v>266</v>
      </c>
      <c r="Q59" s="4" t="s">
        <v>26</v>
      </c>
      <c r="R59" s="4" t="str">
        <f>"44060"</f>
        <v>44060</v>
      </c>
      <c r="S59" s="4" t="s">
        <v>35</v>
      </c>
      <c r="T59" s="6">
        <v>44196</v>
      </c>
      <c r="U59" s="4" t="s">
        <v>29</v>
      </c>
    </row>
    <row r="60" spans="1:21" s="3" customFormat="1" ht="28.8" x14ac:dyDescent="0.3">
      <c r="A60" s="4" t="str">
        <f>"CB000B4Q"</f>
        <v>CB000B4Q</v>
      </c>
      <c r="B60" s="4" t="s">
        <v>268</v>
      </c>
      <c r="C60" s="4" t="s">
        <v>269</v>
      </c>
      <c r="D60" s="4" t="s">
        <v>270</v>
      </c>
      <c r="E60" s="4" t="s">
        <v>271</v>
      </c>
      <c r="F60" s="4"/>
      <c r="G60" s="4" t="s">
        <v>272</v>
      </c>
      <c r="H60" s="4" t="s">
        <v>26</v>
      </c>
      <c r="I60" s="4" t="str">
        <f>"43019"</f>
        <v>43019</v>
      </c>
      <c r="J60" s="4" t="s">
        <v>273</v>
      </c>
      <c r="K60" s="4" t="str">
        <f>"(P) 567-231-6629 (M) 614-205-1404"</f>
        <v>(P) 567-231-6629 (M) 614-205-1404</v>
      </c>
      <c r="L60" s="4" t="s">
        <v>274</v>
      </c>
      <c r="M60" s="4" t="s">
        <v>268</v>
      </c>
      <c r="N60" s="4" t="s">
        <v>271</v>
      </c>
      <c r="O60" s="4"/>
      <c r="P60" s="4" t="s">
        <v>272</v>
      </c>
      <c r="Q60" s="4" t="s">
        <v>26</v>
      </c>
      <c r="R60" s="4" t="str">
        <f>"43019"</f>
        <v>43019</v>
      </c>
      <c r="S60" s="4" t="s">
        <v>273</v>
      </c>
      <c r="T60" s="6">
        <v>44196</v>
      </c>
      <c r="U60" s="4" t="s">
        <v>29</v>
      </c>
    </row>
    <row r="61" spans="1:21" s="3" customFormat="1" x14ac:dyDescent="0.3">
      <c r="A61" s="4" t="str">
        <f>"CB00142D"</f>
        <v>CB00142D</v>
      </c>
      <c r="B61" s="4" t="s">
        <v>1521</v>
      </c>
      <c r="C61" s="4" t="s">
        <v>1064</v>
      </c>
      <c r="D61" s="4" t="s">
        <v>1522</v>
      </c>
      <c r="E61" s="4" t="s">
        <v>1523</v>
      </c>
      <c r="F61" s="4"/>
      <c r="G61" s="4" t="s">
        <v>472</v>
      </c>
      <c r="H61" s="4" t="s">
        <v>26</v>
      </c>
      <c r="I61" s="4" t="str">
        <f>"45230"</f>
        <v>45230</v>
      </c>
      <c r="J61" s="4" t="s">
        <v>473</v>
      </c>
      <c r="K61" s="4" t="str">
        <f>"(P) 513-205-7657"</f>
        <v>(P) 513-205-7657</v>
      </c>
      <c r="L61" s="4" t="s">
        <v>1524</v>
      </c>
      <c r="M61" s="4" t="s">
        <v>1521</v>
      </c>
      <c r="N61" s="4" t="s">
        <v>1525</v>
      </c>
      <c r="O61" s="4"/>
      <c r="P61" s="4" t="s">
        <v>472</v>
      </c>
      <c r="Q61" s="4" t="s">
        <v>26</v>
      </c>
      <c r="R61" s="4" t="str">
        <f>"45244"</f>
        <v>45244</v>
      </c>
      <c r="S61" s="4" t="s">
        <v>150</v>
      </c>
      <c r="T61" s="6">
        <v>44196</v>
      </c>
      <c r="U61" s="4" t="s">
        <v>29</v>
      </c>
    </row>
    <row r="62" spans="1:21" s="3" customFormat="1" ht="28.8" x14ac:dyDescent="0.3">
      <c r="A62" s="4" t="str">
        <f>"CB000B0Y"</f>
        <v>CB000B0Y</v>
      </c>
      <c r="B62" s="4" t="s">
        <v>256</v>
      </c>
      <c r="C62" s="4" t="s">
        <v>257</v>
      </c>
      <c r="D62" s="4" t="s">
        <v>258</v>
      </c>
      <c r="E62" s="4" t="s">
        <v>259</v>
      </c>
      <c r="F62" s="4"/>
      <c r="G62" s="4" t="s">
        <v>253</v>
      </c>
      <c r="H62" s="4" t="s">
        <v>26</v>
      </c>
      <c r="I62" s="4" t="str">
        <f>"43231"</f>
        <v>43231</v>
      </c>
      <c r="J62" s="4" t="s">
        <v>210</v>
      </c>
      <c r="K62" s="4" t="str">
        <f>"(P) 614-891-5280 (F) 614-891-1765"</f>
        <v>(P) 614-891-5280 (F) 614-891-1765</v>
      </c>
      <c r="L62" s="4" t="s">
        <v>260</v>
      </c>
      <c r="M62" s="4" t="s">
        <v>256</v>
      </c>
      <c r="N62" s="4" t="s">
        <v>261</v>
      </c>
      <c r="O62" s="4"/>
      <c r="P62" s="4" t="s">
        <v>253</v>
      </c>
      <c r="Q62" s="4" t="s">
        <v>26</v>
      </c>
      <c r="R62" s="4" t="str">
        <f>"43231"</f>
        <v>43231</v>
      </c>
      <c r="S62" s="4" t="s">
        <v>210</v>
      </c>
      <c r="T62" s="6">
        <v>44196</v>
      </c>
      <c r="U62" s="4" t="s">
        <v>29</v>
      </c>
    </row>
    <row r="63" spans="1:21" s="3" customFormat="1" ht="28.8" x14ac:dyDescent="0.3">
      <c r="A63" s="4" t="str">
        <f>"CB001BHP"</f>
        <v>CB001BHP</v>
      </c>
      <c r="B63" s="4" t="s">
        <v>1643</v>
      </c>
      <c r="C63" s="4" t="s">
        <v>1644</v>
      </c>
      <c r="D63" s="4" t="s">
        <v>1645</v>
      </c>
      <c r="E63" s="4" t="s">
        <v>1646</v>
      </c>
      <c r="F63" s="4"/>
      <c r="G63" s="4" t="s">
        <v>684</v>
      </c>
      <c r="H63" s="4" t="s">
        <v>26</v>
      </c>
      <c r="I63" s="4" t="str">
        <f>"45506"</f>
        <v>45506</v>
      </c>
      <c r="J63" s="4" t="s">
        <v>567</v>
      </c>
      <c r="K63" s="4" t="str">
        <f>"(P) 937-925-6602 (P) 937-605-1433"</f>
        <v>(P) 937-925-6602 (P) 937-605-1433</v>
      </c>
      <c r="L63" s="4" t="s">
        <v>1647</v>
      </c>
      <c r="M63" s="4" t="s">
        <v>1643</v>
      </c>
      <c r="N63" s="4" t="s">
        <v>1646</v>
      </c>
      <c r="O63" s="4"/>
      <c r="P63" s="4" t="s">
        <v>684</v>
      </c>
      <c r="Q63" s="4" t="s">
        <v>26</v>
      </c>
      <c r="R63" s="4" t="str">
        <f>"45506"</f>
        <v>45506</v>
      </c>
      <c r="S63" s="4" t="s">
        <v>567</v>
      </c>
      <c r="T63" s="6">
        <v>44196</v>
      </c>
      <c r="U63" s="4" t="s">
        <v>29</v>
      </c>
    </row>
    <row r="64" spans="1:21" s="3" customFormat="1" x14ac:dyDescent="0.3">
      <c r="A64" s="4" t="str">
        <f>"CB000MT4"</f>
        <v>CB000MT4</v>
      </c>
      <c r="B64" s="4" t="s">
        <v>1283</v>
      </c>
      <c r="C64" s="4" t="s">
        <v>1284</v>
      </c>
      <c r="D64" s="4" t="s">
        <v>1285</v>
      </c>
      <c r="E64" s="4" t="s">
        <v>1286</v>
      </c>
      <c r="F64" s="4"/>
      <c r="G64" s="4" t="s">
        <v>1287</v>
      </c>
      <c r="H64" s="4" t="s">
        <v>1288</v>
      </c>
      <c r="I64" s="4" t="str">
        <f>"06385"</f>
        <v>06385</v>
      </c>
      <c r="J64" s="4" t="s">
        <v>1289</v>
      </c>
      <c r="K64" s="4" t="str">
        <f>"(P) 401-527-3746"</f>
        <v>(P) 401-527-3746</v>
      </c>
      <c r="L64" s="4" t="s">
        <v>1290</v>
      </c>
      <c r="M64" s="4" t="s">
        <v>1283</v>
      </c>
      <c r="N64" s="4" t="s">
        <v>1286</v>
      </c>
      <c r="O64" s="4"/>
      <c r="P64" s="4" t="s">
        <v>1287</v>
      </c>
      <c r="Q64" s="4" t="s">
        <v>1288</v>
      </c>
      <c r="R64" s="4" t="str">
        <f>"06385"</f>
        <v>06385</v>
      </c>
      <c r="S64" s="4" t="s">
        <v>1289</v>
      </c>
      <c r="T64" s="6">
        <v>44196</v>
      </c>
      <c r="U64" s="4" t="s">
        <v>29</v>
      </c>
    </row>
    <row r="65" spans="1:21" s="3" customFormat="1" x14ac:dyDescent="0.3">
      <c r="A65" s="4" t="str">
        <f>"CB000BF2"</f>
        <v>CB000BF2</v>
      </c>
      <c r="B65" s="4" t="s">
        <v>275</v>
      </c>
      <c r="C65" s="4" t="s">
        <v>276</v>
      </c>
      <c r="D65" s="4" t="s">
        <v>277</v>
      </c>
      <c r="E65" s="4" t="s">
        <v>278</v>
      </c>
      <c r="F65" s="4"/>
      <c r="G65" s="4" t="s">
        <v>279</v>
      </c>
      <c r="H65" s="4" t="s">
        <v>26</v>
      </c>
      <c r="I65" s="4" t="str">
        <f>"43054"</f>
        <v>43054</v>
      </c>
      <c r="J65" s="4" t="s">
        <v>210</v>
      </c>
      <c r="K65" s="4" t="str">
        <f>"(M) 614-554-1300"</f>
        <v>(M) 614-554-1300</v>
      </c>
      <c r="L65" s="4" t="s">
        <v>280</v>
      </c>
      <c r="M65" s="4" t="s">
        <v>275</v>
      </c>
      <c r="N65" s="4" t="s">
        <v>278</v>
      </c>
      <c r="O65" s="4"/>
      <c r="P65" s="4" t="s">
        <v>279</v>
      </c>
      <c r="Q65" s="4" t="s">
        <v>26</v>
      </c>
      <c r="R65" s="4" t="str">
        <f>"43054"</f>
        <v>43054</v>
      </c>
      <c r="S65" s="4" t="s">
        <v>210</v>
      </c>
      <c r="T65" s="6">
        <v>44196</v>
      </c>
      <c r="U65" s="4" t="s">
        <v>29</v>
      </c>
    </row>
    <row r="66" spans="1:21" s="3" customFormat="1" ht="28.8" x14ac:dyDescent="0.3">
      <c r="A66" s="4" t="str">
        <f>"CB000BGZ"</f>
        <v>CB000BGZ</v>
      </c>
      <c r="B66" s="4" t="s">
        <v>281</v>
      </c>
      <c r="C66" s="4" t="s">
        <v>282</v>
      </c>
      <c r="D66" s="4" t="s">
        <v>283</v>
      </c>
      <c r="E66" s="4" t="s">
        <v>284</v>
      </c>
      <c r="F66" s="4"/>
      <c r="G66" s="4" t="s">
        <v>253</v>
      </c>
      <c r="H66" s="4" t="s">
        <v>26</v>
      </c>
      <c r="I66" s="4" t="str">
        <f>"43219"</f>
        <v>43219</v>
      </c>
      <c r="J66" s="4" t="s">
        <v>210</v>
      </c>
      <c r="K66" s="4" t="str">
        <f>"(P) 614-471-9000 (M) 614-888-2208"</f>
        <v>(P) 614-471-9000 (M) 614-888-2208</v>
      </c>
      <c r="L66" s="4" t="s">
        <v>285</v>
      </c>
      <c r="M66" s="4" t="s">
        <v>281</v>
      </c>
      <c r="N66" s="4" t="s">
        <v>284</v>
      </c>
      <c r="O66" s="4"/>
      <c r="P66" s="4" t="s">
        <v>253</v>
      </c>
      <c r="Q66" s="4" t="s">
        <v>26</v>
      </c>
      <c r="R66" s="4" t="str">
        <f>"43219"</f>
        <v>43219</v>
      </c>
      <c r="S66" s="4" t="s">
        <v>210</v>
      </c>
      <c r="T66" s="6">
        <v>44196</v>
      </c>
      <c r="U66" s="4" t="s">
        <v>29</v>
      </c>
    </row>
    <row r="67" spans="1:21" s="3" customFormat="1" ht="28.8" x14ac:dyDescent="0.3">
      <c r="A67" s="4" t="str">
        <f>"CB001G6R"</f>
        <v>CB001G6R</v>
      </c>
      <c r="B67" s="4" t="s">
        <v>1738</v>
      </c>
      <c r="C67" s="4" t="s">
        <v>544</v>
      </c>
      <c r="D67" s="4" t="s">
        <v>1739</v>
      </c>
      <c r="E67" s="4" t="s">
        <v>1740</v>
      </c>
      <c r="F67" s="4"/>
      <c r="G67" s="4" t="s">
        <v>1741</v>
      </c>
      <c r="H67" s="4" t="s">
        <v>26</v>
      </c>
      <c r="I67" s="4" t="str">
        <f>"43055"</f>
        <v>43055</v>
      </c>
      <c r="J67" s="4" t="s">
        <v>548</v>
      </c>
      <c r="K67" s="4" t="str">
        <f>"(P) 740-345-2656 (F) 740-345-2656"</f>
        <v>(P) 740-345-2656 (F) 740-345-2656</v>
      </c>
      <c r="L67" s="4" t="s">
        <v>1742</v>
      </c>
      <c r="M67" s="4" t="s">
        <v>1738</v>
      </c>
      <c r="N67" s="4" t="s">
        <v>1740</v>
      </c>
      <c r="O67" s="4"/>
      <c r="P67" s="4" t="s">
        <v>1741</v>
      </c>
      <c r="Q67" s="4" t="s">
        <v>26</v>
      </c>
      <c r="R67" s="4" t="str">
        <f>"43055"</f>
        <v>43055</v>
      </c>
      <c r="S67" s="4" t="s">
        <v>548</v>
      </c>
      <c r="T67" s="6">
        <v>44196</v>
      </c>
      <c r="U67" s="4" t="s">
        <v>29</v>
      </c>
    </row>
    <row r="68" spans="1:21" s="3" customFormat="1" ht="28.8" x14ac:dyDescent="0.3">
      <c r="A68" s="4" t="str">
        <f>"CB000BHX"</f>
        <v>CB000BHX</v>
      </c>
      <c r="B68" s="4" t="s">
        <v>286</v>
      </c>
      <c r="C68" s="4" t="s">
        <v>287</v>
      </c>
      <c r="D68" s="4" t="s">
        <v>288</v>
      </c>
      <c r="E68" s="4" t="s">
        <v>289</v>
      </c>
      <c r="F68" s="4"/>
      <c r="G68" s="4" t="s">
        <v>290</v>
      </c>
      <c r="H68" s="4" t="s">
        <v>26</v>
      </c>
      <c r="I68" s="4" t="str">
        <f>"45424"</f>
        <v>45424</v>
      </c>
      <c r="J68" s="4" t="s">
        <v>58</v>
      </c>
      <c r="K68" s="4" t="str">
        <f>"(F) 937-640-1416 (M) 937-750-5895"</f>
        <v>(F) 937-640-1416 (M) 937-750-5895</v>
      </c>
      <c r="L68" s="4" t="s">
        <v>291</v>
      </c>
      <c r="M68" s="4" t="s">
        <v>286</v>
      </c>
      <c r="N68" s="4" t="s">
        <v>289</v>
      </c>
      <c r="O68" s="4"/>
      <c r="P68" s="4" t="s">
        <v>290</v>
      </c>
      <c r="Q68" s="4" t="s">
        <v>26</v>
      </c>
      <c r="R68" s="4" t="str">
        <f>"45424"</f>
        <v>45424</v>
      </c>
      <c r="S68" s="4" t="s">
        <v>58</v>
      </c>
      <c r="T68" s="6">
        <v>44196</v>
      </c>
      <c r="U68" s="4" t="s">
        <v>29</v>
      </c>
    </row>
    <row r="69" spans="1:21" s="3" customFormat="1" x14ac:dyDescent="0.3">
      <c r="A69" s="4" t="str">
        <f>"CB000MVZ"</f>
        <v>CB000MVZ</v>
      </c>
      <c r="B69" s="4" t="s">
        <v>1297</v>
      </c>
      <c r="C69" s="4" t="s">
        <v>686</v>
      </c>
      <c r="D69" s="4" t="s">
        <v>1298</v>
      </c>
      <c r="E69" s="4" t="s">
        <v>1299</v>
      </c>
      <c r="F69" s="4"/>
      <c r="G69" s="4" t="s">
        <v>668</v>
      </c>
      <c r="H69" s="4" t="s">
        <v>26</v>
      </c>
      <c r="I69" s="4" t="str">
        <f>"44035"</f>
        <v>44035</v>
      </c>
      <c r="J69" s="4" t="s">
        <v>377</v>
      </c>
      <c r="K69" s="4" t="str">
        <f>"(M) 440-864-1441"</f>
        <v>(M) 440-864-1441</v>
      </c>
      <c r="L69" s="4" t="s">
        <v>1300</v>
      </c>
      <c r="M69" s="4" t="s">
        <v>1297</v>
      </c>
      <c r="N69" s="4" t="s">
        <v>1299</v>
      </c>
      <c r="O69" s="4"/>
      <c r="P69" s="4" t="s">
        <v>668</v>
      </c>
      <c r="Q69" s="4" t="s">
        <v>26</v>
      </c>
      <c r="R69" s="4" t="str">
        <f>"44035"</f>
        <v>44035</v>
      </c>
      <c r="S69" s="4" t="s">
        <v>377</v>
      </c>
      <c r="T69" s="6">
        <v>44196</v>
      </c>
      <c r="U69" s="4" t="s">
        <v>29</v>
      </c>
    </row>
    <row r="70" spans="1:21" s="3" customFormat="1" ht="28.8" x14ac:dyDescent="0.3">
      <c r="A70" s="4" t="str">
        <f>"CB000BKT"</f>
        <v>CB000BKT</v>
      </c>
      <c r="B70" s="4" t="s">
        <v>292</v>
      </c>
      <c r="C70" s="4" t="s">
        <v>293</v>
      </c>
      <c r="D70" s="4" t="s">
        <v>154</v>
      </c>
      <c r="E70" s="4" t="s">
        <v>294</v>
      </c>
      <c r="F70" s="4"/>
      <c r="G70" s="4" t="s">
        <v>295</v>
      </c>
      <c r="H70" s="4" t="s">
        <v>26</v>
      </c>
      <c r="I70" s="4" t="str">
        <f>"45106"</f>
        <v>45106</v>
      </c>
      <c r="J70" s="4" t="s">
        <v>150</v>
      </c>
      <c r="K70" s="4" t="str">
        <f>"(P) 513-760-9863 (M) 513-766-2284"</f>
        <v>(P) 513-760-9863 (M) 513-766-2284</v>
      </c>
      <c r="L70" s="4" t="s">
        <v>296</v>
      </c>
      <c r="M70" s="4" t="s">
        <v>292</v>
      </c>
      <c r="N70" s="4" t="s">
        <v>294</v>
      </c>
      <c r="O70" s="4"/>
      <c r="P70" s="4" t="s">
        <v>295</v>
      </c>
      <c r="Q70" s="4" t="s">
        <v>26</v>
      </c>
      <c r="R70" s="4" t="str">
        <f>"45106"</f>
        <v>45106</v>
      </c>
      <c r="S70" s="4" t="s">
        <v>150</v>
      </c>
      <c r="T70" s="6">
        <v>44196</v>
      </c>
      <c r="U70" s="4" t="s">
        <v>29</v>
      </c>
    </row>
    <row r="71" spans="1:21" s="3" customFormat="1" ht="28.8" x14ac:dyDescent="0.3">
      <c r="A71" s="4" t="str">
        <f>"CB000BLR"</f>
        <v>CB000BLR</v>
      </c>
      <c r="B71" s="4" t="s">
        <v>297</v>
      </c>
      <c r="C71" s="4" t="s">
        <v>298</v>
      </c>
      <c r="D71" s="4" t="s">
        <v>299</v>
      </c>
      <c r="E71" s="4" t="s">
        <v>300</v>
      </c>
      <c r="F71" s="4"/>
      <c r="G71" s="4" t="s">
        <v>301</v>
      </c>
      <c r="H71" s="4" t="s">
        <v>26</v>
      </c>
      <c r="I71" s="4" t="str">
        <f>"45168"</f>
        <v>45168</v>
      </c>
      <c r="J71" s="4" t="s">
        <v>302</v>
      </c>
      <c r="K71" s="4" t="str">
        <f>"(F) 937-377-1442 (M) 513-315-2051"</f>
        <v>(F) 937-377-1442 (M) 513-315-2051</v>
      </c>
      <c r="L71" s="4" t="s">
        <v>303</v>
      </c>
      <c r="M71" s="4" t="s">
        <v>297</v>
      </c>
      <c r="N71" s="4" t="s">
        <v>304</v>
      </c>
      <c r="O71" s="4"/>
      <c r="P71" s="4" t="s">
        <v>301</v>
      </c>
      <c r="Q71" s="4" t="s">
        <v>26</v>
      </c>
      <c r="R71" s="4" t="str">
        <f>"45168"</f>
        <v>45168</v>
      </c>
      <c r="S71" s="4" t="s">
        <v>302</v>
      </c>
      <c r="T71" s="6">
        <v>44196</v>
      </c>
      <c r="U71" s="4" t="s">
        <v>29</v>
      </c>
    </row>
    <row r="72" spans="1:21" s="3" customFormat="1" x14ac:dyDescent="0.3">
      <c r="A72" s="4" t="str">
        <f>"CB001HKU"</f>
        <v>CB001HKU</v>
      </c>
      <c r="B72" s="4" t="s">
        <v>1758</v>
      </c>
      <c r="C72" s="4" t="s">
        <v>101</v>
      </c>
      <c r="D72" s="4" t="s">
        <v>1759</v>
      </c>
      <c r="E72" s="4" t="s">
        <v>1760</v>
      </c>
      <c r="F72" s="4"/>
      <c r="G72" s="4" t="s">
        <v>651</v>
      </c>
      <c r="H72" s="4" t="s">
        <v>26</v>
      </c>
      <c r="I72" s="4" t="str">
        <f>"43793"</f>
        <v>43793</v>
      </c>
      <c r="J72" s="4" t="s">
        <v>652</v>
      </c>
      <c r="K72" s="4" t="str">
        <f>"(P) 740-934-2693"</f>
        <v>(P) 740-934-2693</v>
      </c>
      <c r="L72" s="4" t="s">
        <v>1761</v>
      </c>
      <c r="M72" s="4" t="s">
        <v>1758</v>
      </c>
      <c r="N72" s="4" t="s">
        <v>1760</v>
      </c>
      <c r="O72" s="4"/>
      <c r="P72" s="4" t="s">
        <v>651</v>
      </c>
      <c r="Q72" s="4" t="s">
        <v>26</v>
      </c>
      <c r="R72" s="4" t="str">
        <f>"43793"</f>
        <v>43793</v>
      </c>
      <c r="S72" s="4" t="s">
        <v>652</v>
      </c>
      <c r="T72" s="6">
        <v>44196</v>
      </c>
      <c r="U72" s="4" t="s">
        <v>29</v>
      </c>
    </row>
    <row r="73" spans="1:21" s="3" customFormat="1" x14ac:dyDescent="0.3">
      <c r="A73" s="4" t="str">
        <f>"CB000BPK"</f>
        <v>CB000BPK</v>
      </c>
      <c r="B73" s="4" t="s">
        <v>305</v>
      </c>
      <c r="C73" s="4" t="s">
        <v>306</v>
      </c>
      <c r="D73" s="4" t="s">
        <v>307</v>
      </c>
      <c r="E73" s="4" t="s">
        <v>308</v>
      </c>
      <c r="F73" s="4"/>
      <c r="G73" s="4" t="s">
        <v>309</v>
      </c>
      <c r="H73" s="4" t="s">
        <v>26</v>
      </c>
      <c r="I73" s="4" t="str">
        <f>"45036"</f>
        <v>45036</v>
      </c>
      <c r="J73" s="4" t="s">
        <v>310</v>
      </c>
      <c r="K73" s="4" t="str">
        <f>"(P) 513-933-0585"</f>
        <v>(P) 513-933-0585</v>
      </c>
      <c r="L73" s="4"/>
      <c r="M73" s="4" t="s">
        <v>305</v>
      </c>
      <c r="N73" s="4" t="s">
        <v>308</v>
      </c>
      <c r="O73" s="4"/>
      <c r="P73" s="4" t="s">
        <v>309</v>
      </c>
      <c r="Q73" s="4" t="s">
        <v>26</v>
      </c>
      <c r="R73" s="4" t="str">
        <f>"45036"</f>
        <v>45036</v>
      </c>
      <c r="S73" s="4" t="s">
        <v>310</v>
      </c>
      <c r="T73" s="6">
        <v>44196</v>
      </c>
      <c r="U73" s="4" t="s">
        <v>29</v>
      </c>
    </row>
    <row r="74" spans="1:21" s="3" customFormat="1" ht="28.8" x14ac:dyDescent="0.3">
      <c r="A74" s="4" t="str">
        <f>"CB000BQH"</f>
        <v>CB000BQH</v>
      </c>
      <c r="B74" s="4" t="s">
        <v>311</v>
      </c>
      <c r="C74" s="4" t="s">
        <v>312</v>
      </c>
      <c r="D74" s="4" t="s">
        <v>313</v>
      </c>
      <c r="E74" s="4" t="s">
        <v>314</v>
      </c>
      <c r="F74" s="4"/>
      <c r="G74" s="4" t="s">
        <v>315</v>
      </c>
      <c r="H74" s="4" t="s">
        <v>26</v>
      </c>
      <c r="I74" s="4" t="str">
        <f>"43113"</f>
        <v>43113</v>
      </c>
      <c r="J74" s="4" t="s">
        <v>316</v>
      </c>
      <c r="K74" s="4" t="str">
        <f>"(M) 740-412-0369"</f>
        <v>(M) 740-412-0369</v>
      </c>
      <c r="L74" s="4" t="s">
        <v>317</v>
      </c>
      <c r="M74" s="4" t="s">
        <v>311</v>
      </c>
      <c r="N74" s="4" t="s">
        <v>314</v>
      </c>
      <c r="O74" s="4"/>
      <c r="P74" s="4" t="s">
        <v>315</v>
      </c>
      <c r="Q74" s="4" t="s">
        <v>26</v>
      </c>
      <c r="R74" s="4" t="str">
        <f>"43113"</f>
        <v>43113</v>
      </c>
      <c r="S74" s="4" t="s">
        <v>316</v>
      </c>
      <c r="T74" s="6">
        <v>44196</v>
      </c>
      <c r="U74" s="4" t="s">
        <v>29</v>
      </c>
    </row>
    <row r="75" spans="1:21" s="3" customFormat="1" x14ac:dyDescent="0.3">
      <c r="A75" s="4" t="str">
        <f>"CB000BSD"</f>
        <v>CB000BSD</v>
      </c>
      <c r="B75" s="4" t="s">
        <v>318</v>
      </c>
      <c r="C75" s="4" t="s">
        <v>319</v>
      </c>
      <c r="D75" s="4" t="s">
        <v>320</v>
      </c>
      <c r="E75" s="4" t="s">
        <v>321</v>
      </c>
      <c r="F75" s="4"/>
      <c r="G75" s="4" t="s">
        <v>322</v>
      </c>
      <c r="H75" s="4" t="s">
        <v>26</v>
      </c>
      <c r="I75" s="4" t="str">
        <f>"45805"</f>
        <v>45805</v>
      </c>
      <c r="J75" s="4" t="s">
        <v>323</v>
      </c>
      <c r="K75" s="4" t="str">
        <f>"(M) 419-204-6157"</f>
        <v>(M) 419-204-6157</v>
      </c>
      <c r="L75" s="4" t="s">
        <v>324</v>
      </c>
      <c r="M75" s="4" t="s">
        <v>318</v>
      </c>
      <c r="N75" s="4" t="s">
        <v>321</v>
      </c>
      <c r="O75" s="4"/>
      <c r="P75" s="4" t="s">
        <v>322</v>
      </c>
      <c r="Q75" s="4" t="s">
        <v>26</v>
      </c>
      <c r="R75" s="4" t="str">
        <f>"45805"</f>
        <v>45805</v>
      </c>
      <c r="S75" s="4" t="s">
        <v>323</v>
      </c>
      <c r="T75" s="6">
        <v>44196</v>
      </c>
      <c r="U75" s="4" t="s">
        <v>29</v>
      </c>
    </row>
    <row r="76" spans="1:21" s="3" customFormat="1" ht="28.8" x14ac:dyDescent="0.3">
      <c r="A76" s="4" t="str">
        <f>"CB002BEM"</f>
        <v>CB002BEM</v>
      </c>
      <c r="B76" s="4" t="s">
        <v>1915</v>
      </c>
      <c r="C76" s="4" t="s">
        <v>769</v>
      </c>
      <c r="D76" s="4" t="s">
        <v>429</v>
      </c>
      <c r="E76" s="4" t="s">
        <v>1916</v>
      </c>
      <c r="F76" s="4"/>
      <c r="G76" s="4" t="s">
        <v>1045</v>
      </c>
      <c r="H76" s="4" t="s">
        <v>26</v>
      </c>
      <c r="I76" s="4" t="str">
        <f>"44028"</f>
        <v>44028</v>
      </c>
      <c r="J76" s="4" t="s">
        <v>377</v>
      </c>
      <c r="K76" s="4" t="str">
        <f>"(P) 803-361-0178 (M) 440-236-8505"</f>
        <v>(P) 803-361-0178 (M) 440-236-8505</v>
      </c>
      <c r="L76" s="4" t="s">
        <v>1917</v>
      </c>
      <c r="M76" s="4" t="s">
        <v>1915</v>
      </c>
      <c r="N76" s="4" t="s">
        <v>1916</v>
      </c>
      <c r="O76" s="4"/>
      <c r="P76" s="4" t="s">
        <v>1045</v>
      </c>
      <c r="Q76" s="4" t="s">
        <v>26</v>
      </c>
      <c r="R76" s="4" t="str">
        <f>"44028"</f>
        <v>44028</v>
      </c>
      <c r="S76" s="4" t="s">
        <v>377</v>
      </c>
      <c r="T76" s="6">
        <v>44196</v>
      </c>
      <c r="U76" s="4" t="s">
        <v>29</v>
      </c>
    </row>
    <row r="77" spans="1:21" s="3" customFormat="1" x14ac:dyDescent="0.3">
      <c r="A77" s="4" t="str">
        <f>"CB001JML"</f>
        <v>CB001JML</v>
      </c>
      <c r="B77" s="4" t="s">
        <v>1789</v>
      </c>
      <c r="C77" s="4" t="s">
        <v>1790</v>
      </c>
      <c r="D77" s="4" t="s">
        <v>1276</v>
      </c>
      <c r="E77" s="4" t="s">
        <v>1791</v>
      </c>
      <c r="F77" s="4"/>
      <c r="G77" s="4" t="s">
        <v>97</v>
      </c>
      <c r="H77" s="4" t="s">
        <v>26</v>
      </c>
      <c r="I77" s="4" t="str">
        <f>"44706"</f>
        <v>44706</v>
      </c>
      <c r="J77" s="4" t="s">
        <v>98</v>
      </c>
      <c r="K77" s="4" t="str">
        <f>"(M) 330-806-5832"</f>
        <v>(M) 330-806-5832</v>
      </c>
      <c r="L77" s="4" t="s">
        <v>1792</v>
      </c>
      <c r="M77" s="4" t="s">
        <v>1789</v>
      </c>
      <c r="N77" s="4" t="s">
        <v>1793</v>
      </c>
      <c r="O77" s="4"/>
      <c r="P77" s="4" t="s">
        <v>97</v>
      </c>
      <c r="Q77" s="4" t="s">
        <v>26</v>
      </c>
      <c r="R77" s="4" t="str">
        <f>"44706"</f>
        <v>44706</v>
      </c>
      <c r="S77" s="4" t="s">
        <v>98</v>
      </c>
      <c r="T77" s="6">
        <v>44196</v>
      </c>
      <c r="U77" s="4" t="s">
        <v>29</v>
      </c>
    </row>
    <row r="78" spans="1:21" s="3" customFormat="1" ht="28.8" x14ac:dyDescent="0.3">
      <c r="A78" s="4" t="str">
        <f>"CB000TX5"</f>
        <v>CB000TX5</v>
      </c>
      <c r="B78" s="4" t="s">
        <v>1409</v>
      </c>
      <c r="C78" s="4" t="s">
        <v>1410</v>
      </c>
      <c r="D78" s="4" t="s">
        <v>1411</v>
      </c>
      <c r="E78" s="4" t="s">
        <v>1412</v>
      </c>
      <c r="F78" s="4" t="s">
        <v>1413</v>
      </c>
      <c r="G78" s="4" t="s">
        <v>408</v>
      </c>
      <c r="H78" s="4" t="s">
        <v>26</v>
      </c>
      <c r="I78" s="4" t="str">
        <f>"44202"</f>
        <v>44202</v>
      </c>
      <c r="J78" s="4" t="s">
        <v>243</v>
      </c>
      <c r="K78" s="4" t="str">
        <f>"(P) 330-382-6496 (F) 330-382-6496"</f>
        <v>(P) 330-382-6496 (F) 330-382-6496</v>
      </c>
      <c r="L78" s="4" t="s">
        <v>1414</v>
      </c>
      <c r="M78" s="4" t="s">
        <v>1409</v>
      </c>
      <c r="N78" s="4" t="s">
        <v>1412</v>
      </c>
      <c r="O78" s="4" t="s">
        <v>1413</v>
      </c>
      <c r="P78" s="4" t="s">
        <v>408</v>
      </c>
      <c r="Q78" s="4" t="s">
        <v>26</v>
      </c>
      <c r="R78" s="4" t="str">
        <f>"44202"</f>
        <v>44202</v>
      </c>
      <c r="S78" s="4" t="s">
        <v>243</v>
      </c>
      <c r="T78" s="6">
        <v>44196</v>
      </c>
      <c r="U78" s="4" t="s">
        <v>29</v>
      </c>
    </row>
    <row r="79" spans="1:21" s="3" customFormat="1" x14ac:dyDescent="0.3">
      <c r="A79" s="4" t="str">
        <f>"CB000BX3"</f>
        <v>CB000BX3</v>
      </c>
      <c r="B79" s="4" t="s">
        <v>332</v>
      </c>
      <c r="C79" s="4" t="s">
        <v>333</v>
      </c>
      <c r="D79" s="4" t="s">
        <v>334</v>
      </c>
      <c r="E79" s="4" t="s">
        <v>335</v>
      </c>
      <c r="F79" s="4"/>
      <c r="G79" s="4" t="s">
        <v>336</v>
      </c>
      <c r="H79" s="4" t="s">
        <v>26</v>
      </c>
      <c r="I79" s="4" t="str">
        <f>"43351"</f>
        <v>43351</v>
      </c>
      <c r="J79" s="4" t="s">
        <v>77</v>
      </c>
      <c r="K79" s="4" t="str">
        <f>"(P) 740-251-8527"</f>
        <v>(P) 740-251-8527</v>
      </c>
      <c r="L79" s="4" t="s">
        <v>337</v>
      </c>
      <c r="M79" s="4" t="s">
        <v>332</v>
      </c>
      <c r="N79" s="4" t="s">
        <v>335</v>
      </c>
      <c r="O79" s="4"/>
      <c r="P79" s="4" t="s">
        <v>336</v>
      </c>
      <c r="Q79" s="4" t="s">
        <v>26</v>
      </c>
      <c r="R79" s="4" t="str">
        <f>"43302"</f>
        <v>43302</v>
      </c>
      <c r="S79" s="4" t="s">
        <v>77</v>
      </c>
      <c r="T79" s="6">
        <v>44196</v>
      </c>
      <c r="U79" s="4" t="s">
        <v>29</v>
      </c>
    </row>
    <row r="80" spans="1:21" s="3" customFormat="1" ht="28.8" x14ac:dyDescent="0.3">
      <c r="A80" s="4" t="str">
        <f>"CB000BY1"</f>
        <v>CB000BY1</v>
      </c>
      <c r="B80" s="4" t="s">
        <v>338</v>
      </c>
      <c r="C80" s="4" t="s">
        <v>101</v>
      </c>
      <c r="D80" s="4" t="s">
        <v>339</v>
      </c>
      <c r="E80" s="4" t="s">
        <v>340</v>
      </c>
      <c r="F80" s="4"/>
      <c r="G80" s="4" t="s">
        <v>341</v>
      </c>
      <c r="H80" s="4" t="s">
        <v>26</v>
      </c>
      <c r="I80" s="4" t="str">
        <f>"45356"</f>
        <v>45356</v>
      </c>
      <c r="J80" s="4" t="s">
        <v>330</v>
      </c>
      <c r="K80" s="4" t="str">
        <f>"(P) 937-773-8304 (M) 937-266-5539"</f>
        <v>(P) 937-773-8304 (M) 937-266-5539</v>
      </c>
      <c r="L80" s="4" t="s">
        <v>342</v>
      </c>
      <c r="M80" s="4" t="s">
        <v>338</v>
      </c>
      <c r="N80" s="4" t="s">
        <v>343</v>
      </c>
      <c r="O80" s="4"/>
      <c r="P80" s="4" t="s">
        <v>344</v>
      </c>
      <c r="Q80" s="4" t="s">
        <v>26</v>
      </c>
      <c r="R80" s="4" t="str">
        <f>"45312"</f>
        <v>45312</v>
      </c>
      <c r="S80" s="4" t="s">
        <v>330</v>
      </c>
      <c r="T80" s="6">
        <v>44196</v>
      </c>
      <c r="U80" s="4" t="s">
        <v>29</v>
      </c>
    </row>
    <row r="81" spans="1:21" s="3" customFormat="1" x14ac:dyDescent="0.3">
      <c r="A81" s="4" t="str">
        <f>"CB001JXZ"</f>
        <v>CB001JXZ</v>
      </c>
      <c r="B81" s="4" t="s">
        <v>1798</v>
      </c>
      <c r="C81" s="4" t="s">
        <v>665</v>
      </c>
      <c r="D81" s="4" t="s">
        <v>1799</v>
      </c>
      <c r="E81" s="4" t="s">
        <v>1800</v>
      </c>
      <c r="F81" s="4"/>
      <c r="G81" s="4" t="s">
        <v>930</v>
      </c>
      <c r="H81" s="4" t="s">
        <v>26</v>
      </c>
      <c r="I81" s="4" t="str">
        <f>"43031"</f>
        <v>43031</v>
      </c>
      <c r="J81" s="4" t="s">
        <v>548</v>
      </c>
      <c r="K81" s="4" t="str">
        <f>"(P) 740-966-3387"</f>
        <v>(P) 740-966-3387</v>
      </c>
      <c r="L81" s="4" t="s">
        <v>1801</v>
      </c>
      <c r="M81" s="4" t="s">
        <v>1802</v>
      </c>
      <c r="N81" s="4" t="s">
        <v>1800</v>
      </c>
      <c r="O81" s="4"/>
      <c r="P81" s="4" t="s">
        <v>930</v>
      </c>
      <c r="Q81" s="4" t="s">
        <v>26</v>
      </c>
      <c r="R81" s="4" t="str">
        <f>"43031"</f>
        <v>43031</v>
      </c>
      <c r="S81" s="4" t="s">
        <v>548</v>
      </c>
      <c r="T81" s="6">
        <v>44196</v>
      </c>
      <c r="U81" s="4" t="s">
        <v>29</v>
      </c>
    </row>
    <row r="82" spans="1:21" s="3" customFormat="1" x14ac:dyDescent="0.3">
      <c r="A82" s="4" t="str">
        <f>"CB002A5A"</f>
        <v>CB002A5A</v>
      </c>
      <c r="B82" s="4" t="s">
        <v>1875</v>
      </c>
      <c r="C82" s="4" t="s">
        <v>1876</v>
      </c>
      <c r="D82" s="4" t="s">
        <v>1877</v>
      </c>
      <c r="E82" s="4" t="s">
        <v>1878</v>
      </c>
      <c r="F82" s="4"/>
      <c r="G82" s="4" t="s">
        <v>1879</v>
      </c>
      <c r="H82" s="4" t="s">
        <v>26</v>
      </c>
      <c r="I82" s="4" t="str">
        <f>"45662"</f>
        <v>45662</v>
      </c>
      <c r="J82" s="4" t="s">
        <v>1880</v>
      </c>
      <c r="K82" s="4" t="str">
        <f>"(P) 740-497-2333"</f>
        <v>(P) 740-497-2333</v>
      </c>
      <c r="L82" s="4" t="s">
        <v>1881</v>
      </c>
      <c r="M82" s="4" t="s">
        <v>1882</v>
      </c>
      <c r="N82" s="4" t="s">
        <v>1878</v>
      </c>
      <c r="O82" s="4"/>
      <c r="P82" s="4" t="s">
        <v>1879</v>
      </c>
      <c r="Q82" s="4" t="s">
        <v>26</v>
      </c>
      <c r="R82" s="4" t="str">
        <f>"45662"</f>
        <v>45662</v>
      </c>
      <c r="S82" s="4" t="s">
        <v>1880</v>
      </c>
      <c r="T82" s="6">
        <v>44196</v>
      </c>
      <c r="U82" s="4" t="s">
        <v>29</v>
      </c>
    </row>
    <row r="83" spans="1:21" s="3" customFormat="1" ht="28.8" x14ac:dyDescent="0.3">
      <c r="A83" s="4" t="str">
        <f>"CB000BZ0"</f>
        <v>CB000BZ0</v>
      </c>
      <c r="B83" s="4" t="s">
        <v>345</v>
      </c>
      <c r="C83" s="4" t="s">
        <v>346</v>
      </c>
      <c r="D83" s="4" t="s">
        <v>347</v>
      </c>
      <c r="E83" s="4" t="s">
        <v>348</v>
      </c>
      <c r="F83" s="4"/>
      <c r="G83" s="4" t="s">
        <v>349</v>
      </c>
      <c r="H83" s="4" t="s">
        <v>26</v>
      </c>
      <c r="I83" s="4" t="str">
        <f>"44024"</f>
        <v>44024</v>
      </c>
      <c r="J83" s="4" t="s">
        <v>43</v>
      </c>
      <c r="K83" s="4" t="str">
        <f>"(P) 216-408-4452 (F) 480-393-4352"</f>
        <v>(P) 216-408-4452 (F) 480-393-4352</v>
      </c>
      <c r="L83" s="4" t="s">
        <v>350</v>
      </c>
      <c r="M83" s="4" t="s">
        <v>345</v>
      </c>
      <c r="N83" s="4" t="s">
        <v>351</v>
      </c>
      <c r="O83" s="4"/>
      <c r="P83" s="4" t="s">
        <v>352</v>
      </c>
      <c r="Q83" s="4" t="s">
        <v>26</v>
      </c>
      <c r="R83" s="4" t="str">
        <f>"44122"</f>
        <v>44122</v>
      </c>
      <c r="S83" s="4" t="s">
        <v>43</v>
      </c>
      <c r="T83" s="6">
        <v>44196</v>
      </c>
      <c r="U83" s="4" t="s">
        <v>29</v>
      </c>
    </row>
    <row r="84" spans="1:21" s="3" customFormat="1" ht="28.8" x14ac:dyDescent="0.3">
      <c r="A84" s="4" t="str">
        <f>"CB000C0U"</f>
        <v>CB000C0U</v>
      </c>
      <c r="B84" s="4" t="s">
        <v>353</v>
      </c>
      <c r="C84" s="4" t="s">
        <v>354</v>
      </c>
      <c r="D84" s="4" t="s">
        <v>355</v>
      </c>
      <c r="E84" s="4" t="s">
        <v>356</v>
      </c>
      <c r="F84" s="4"/>
      <c r="G84" s="4" t="s">
        <v>357</v>
      </c>
      <c r="H84" s="4" t="s">
        <v>26</v>
      </c>
      <c r="I84" s="4" t="str">
        <f>"43613"</f>
        <v>43613</v>
      </c>
      <c r="J84" s="4" t="s">
        <v>358</v>
      </c>
      <c r="K84" s="4" t="str">
        <f>"(P) 419-318-9318 (M) 419-304-7115"</f>
        <v>(P) 419-318-9318 (M) 419-304-7115</v>
      </c>
      <c r="L84" s="4" t="s">
        <v>359</v>
      </c>
      <c r="M84" s="4" t="s">
        <v>353</v>
      </c>
      <c r="N84" s="4" t="s">
        <v>356</v>
      </c>
      <c r="O84" s="4"/>
      <c r="P84" s="4" t="s">
        <v>357</v>
      </c>
      <c r="Q84" s="4" t="s">
        <v>26</v>
      </c>
      <c r="R84" s="4" t="str">
        <f>"43613"</f>
        <v>43613</v>
      </c>
      <c r="S84" s="4" t="s">
        <v>358</v>
      </c>
      <c r="T84" s="6">
        <v>44196</v>
      </c>
      <c r="U84" s="4" t="s">
        <v>29</v>
      </c>
    </row>
    <row r="85" spans="1:21" s="3" customFormat="1" x14ac:dyDescent="0.3">
      <c r="A85" s="4" t="str">
        <f>"CB001AZW"</f>
        <v>CB001AZW</v>
      </c>
      <c r="B85" s="4" t="s">
        <v>1628</v>
      </c>
      <c r="C85" s="4" t="s">
        <v>1629</v>
      </c>
      <c r="D85" s="4" t="s">
        <v>1630</v>
      </c>
      <c r="E85" s="4" t="s">
        <v>1631</v>
      </c>
      <c r="F85" s="4"/>
      <c r="G85" s="4" t="s">
        <v>1632</v>
      </c>
      <c r="H85" s="4" t="s">
        <v>26</v>
      </c>
      <c r="I85" s="4" t="str">
        <f>"44646"</f>
        <v>44646</v>
      </c>
      <c r="J85" s="4" t="s">
        <v>98</v>
      </c>
      <c r="K85" s="4" t="str">
        <f>"(P) 330-880-6020"</f>
        <v>(P) 330-880-6020</v>
      </c>
      <c r="L85" s="4" t="s">
        <v>1633</v>
      </c>
      <c r="M85" s="4" t="s">
        <v>1628</v>
      </c>
      <c r="N85" s="4" t="s">
        <v>1631</v>
      </c>
      <c r="O85" s="4"/>
      <c r="P85" s="4" t="s">
        <v>1632</v>
      </c>
      <c r="Q85" s="4" t="s">
        <v>26</v>
      </c>
      <c r="R85" s="4" t="str">
        <f>"44646"</f>
        <v>44646</v>
      </c>
      <c r="S85" s="4" t="s">
        <v>98</v>
      </c>
      <c r="T85" s="6">
        <v>44196</v>
      </c>
      <c r="U85" s="4" t="s">
        <v>29</v>
      </c>
    </row>
    <row r="86" spans="1:21" s="3" customFormat="1" ht="28.8" x14ac:dyDescent="0.3">
      <c r="A86" s="4" t="str">
        <f>"CB000BTB"</f>
        <v>CB000BTB</v>
      </c>
      <c r="B86" s="4" t="s">
        <v>325</v>
      </c>
      <c r="C86" s="4" t="s">
        <v>326</v>
      </c>
      <c r="D86" s="4" t="s">
        <v>327</v>
      </c>
      <c r="E86" s="4" t="s">
        <v>328</v>
      </c>
      <c r="F86" s="4"/>
      <c r="G86" s="4" t="s">
        <v>329</v>
      </c>
      <c r="H86" s="4" t="s">
        <v>26</v>
      </c>
      <c r="I86" s="4" t="str">
        <f>"45371"</f>
        <v>45371</v>
      </c>
      <c r="J86" s="4" t="s">
        <v>330</v>
      </c>
      <c r="K86" s="4" t="str">
        <f>"(P) 937-698-9377 (M) 937-546-2375"</f>
        <v>(P) 937-698-9377 (M) 937-546-2375</v>
      </c>
      <c r="L86" s="4" t="s">
        <v>331</v>
      </c>
      <c r="M86" s="4" t="s">
        <v>325</v>
      </c>
      <c r="N86" s="4" t="s">
        <v>328</v>
      </c>
      <c r="O86" s="4"/>
      <c r="P86" s="4" t="s">
        <v>329</v>
      </c>
      <c r="Q86" s="4" t="s">
        <v>26</v>
      </c>
      <c r="R86" s="4" t="str">
        <f>"45371"</f>
        <v>45371</v>
      </c>
      <c r="S86" s="4" t="s">
        <v>330</v>
      </c>
      <c r="T86" s="6">
        <v>44196</v>
      </c>
      <c r="U86" s="4" t="s">
        <v>29</v>
      </c>
    </row>
    <row r="87" spans="1:21" s="3" customFormat="1" ht="28.8" x14ac:dyDescent="0.3">
      <c r="A87" s="4" t="str">
        <f>"CB000C4L"</f>
        <v>CB000C4L</v>
      </c>
      <c r="B87" s="4" t="s">
        <v>360</v>
      </c>
      <c r="C87" s="4" t="s">
        <v>361</v>
      </c>
      <c r="D87" s="4" t="s">
        <v>362</v>
      </c>
      <c r="E87" s="4" t="s">
        <v>363</v>
      </c>
      <c r="F87" s="4"/>
      <c r="G87" s="4" t="s">
        <v>364</v>
      </c>
      <c r="H87" s="4" t="s">
        <v>65</v>
      </c>
      <c r="I87" s="4" t="str">
        <f>"60195"</f>
        <v>60195</v>
      </c>
      <c r="J87" s="4" t="s">
        <v>66</v>
      </c>
      <c r="K87" s="4" t="str">
        <f>"(P) 603-674-8814 (F) 320-306-3167 (M) 603-674-8814"</f>
        <v>(P) 603-674-8814 (F) 320-306-3167 (M) 603-674-8814</v>
      </c>
      <c r="L87" s="4" t="s">
        <v>365</v>
      </c>
      <c r="M87" s="4" t="s">
        <v>360</v>
      </c>
      <c r="N87" s="4" t="s">
        <v>363</v>
      </c>
      <c r="O87" s="4"/>
      <c r="P87" s="4" t="s">
        <v>364</v>
      </c>
      <c r="Q87" s="4" t="s">
        <v>65</v>
      </c>
      <c r="R87" s="4" t="str">
        <f>"60195"</f>
        <v>60195</v>
      </c>
      <c r="S87" s="4" t="s">
        <v>66</v>
      </c>
      <c r="T87" s="6">
        <v>44196</v>
      </c>
      <c r="U87" s="4" t="s">
        <v>29</v>
      </c>
    </row>
    <row r="88" spans="1:21" s="3" customFormat="1" x14ac:dyDescent="0.3">
      <c r="A88" s="4" t="str">
        <f>"CB000C7E"</f>
        <v>CB000C7E</v>
      </c>
      <c r="B88" s="4" t="s">
        <v>366</v>
      </c>
      <c r="C88" s="4" t="s">
        <v>367</v>
      </c>
      <c r="D88" s="4" t="s">
        <v>368</v>
      </c>
      <c r="E88" s="4" t="s">
        <v>369</v>
      </c>
      <c r="F88" s="4"/>
      <c r="G88" s="4" t="s">
        <v>370</v>
      </c>
      <c r="H88" s="4" t="s">
        <v>26</v>
      </c>
      <c r="I88" s="4" t="str">
        <f>"43065"</f>
        <v>43065</v>
      </c>
      <c r="J88" s="4" t="s">
        <v>210</v>
      </c>
      <c r="K88" s="4" t="str">
        <f>"(M) 614-886-7939"</f>
        <v>(M) 614-886-7939</v>
      </c>
      <c r="L88" s="4" t="s">
        <v>371</v>
      </c>
      <c r="M88" s="4" t="s">
        <v>366</v>
      </c>
      <c r="N88" s="4" t="s">
        <v>369</v>
      </c>
      <c r="O88" s="4"/>
      <c r="P88" s="4" t="s">
        <v>370</v>
      </c>
      <c r="Q88" s="4" t="s">
        <v>26</v>
      </c>
      <c r="R88" s="4" t="str">
        <f>"43065"</f>
        <v>43065</v>
      </c>
      <c r="S88" s="4" t="s">
        <v>210</v>
      </c>
      <c r="T88" s="6">
        <v>44196</v>
      </c>
      <c r="U88" s="4" t="s">
        <v>29</v>
      </c>
    </row>
    <row r="89" spans="1:21" s="3" customFormat="1" x14ac:dyDescent="0.3">
      <c r="A89" s="4" t="str">
        <f>"CB001BA4"</f>
        <v>CB001BA4</v>
      </c>
      <c r="B89" s="4" t="s">
        <v>1638</v>
      </c>
      <c r="C89" s="4" t="s">
        <v>533</v>
      </c>
      <c r="D89" s="4" t="s">
        <v>1639</v>
      </c>
      <c r="E89" s="4" t="s">
        <v>1640</v>
      </c>
      <c r="F89" s="4"/>
      <c r="G89" s="4" t="s">
        <v>1641</v>
      </c>
      <c r="H89" s="4" t="s">
        <v>26</v>
      </c>
      <c r="I89" s="4" t="str">
        <f>"44512"</f>
        <v>44512</v>
      </c>
      <c r="J89" s="4" t="s">
        <v>121</v>
      </c>
      <c r="K89" s="4" t="str">
        <f>"(P) 330-707-5646"</f>
        <v>(P) 330-707-5646</v>
      </c>
      <c r="L89" s="4" t="s">
        <v>1642</v>
      </c>
      <c r="M89" s="4" t="s">
        <v>1638</v>
      </c>
      <c r="N89" s="4" t="s">
        <v>1640</v>
      </c>
      <c r="O89" s="4"/>
      <c r="P89" s="4" t="s">
        <v>1641</v>
      </c>
      <c r="Q89" s="4" t="s">
        <v>26</v>
      </c>
      <c r="R89" s="4" t="str">
        <f>"44512"</f>
        <v>44512</v>
      </c>
      <c r="S89" s="4" t="s">
        <v>121</v>
      </c>
      <c r="T89" s="6">
        <v>44196</v>
      </c>
      <c r="U89" s="4" t="s">
        <v>29</v>
      </c>
    </row>
    <row r="90" spans="1:21" s="3" customFormat="1" ht="28.8" x14ac:dyDescent="0.3">
      <c r="A90" s="4" t="str">
        <f>"CB001BMF"</f>
        <v>CB001BMF</v>
      </c>
      <c r="B90" s="4" t="s">
        <v>1655</v>
      </c>
      <c r="C90" s="4" t="s">
        <v>1656</v>
      </c>
      <c r="D90" s="4" t="s">
        <v>1657</v>
      </c>
      <c r="E90" s="4" t="s">
        <v>1658</v>
      </c>
      <c r="F90" s="4"/>
      <c r="G90" s="4" t="s">
        <v>1659</v>
      </c>
      <c r="H90" s="4" t="s">
        <v>26</v>
      </c>
      <c r="I90" s="4" t="str">
        <f>"43130"</f>
        <v>43130</v>
      </c>
      <c r="J90" s="4" t="s">
        <v>512</v>
      </c>
      <c r="K90" s="4" t="str">
        <f>"(P) 740-687-0627 (F) 740-687-4837"</f>
        <v>(P) 740-687-0627 (F) 740-687-4837</v>
      </c>
      <c r="L90" s="4" t="s">
        <v>1660</v>
      </c>
      <c r="M90" s="4" t="s">
        <v>1655</v>
      </c>
      <c r="N90" s="4" t="s">
        <v>1658</v>
      </c>
      <c r="O90" s="4"/>
      <c r="P90" s="4" t="s">
        <v>1659</v>
      </c>
      <c r="Q90" s="4" t="s">
        <v>26</v>
      </c>
      <c r="R90" s="4" t="str">
        <f>"43130"</f>
        <v>43130</v>
      </c>
      <c r="S90" s="4" t="s">
        <v>512</v>
      </c>
      <c r="T90" s="6">
        <v>44196</v>
      </c>
      <c r="U90" s="4" t="s">
        <v>29</v>
      </c>
    </row>
    <row r="91" spans="1:21" s="3" customFormat="1" ht="28.8" x14ac:dyDescent="0.3">
      <c r="A91" s="4" t="str">
        <f>"CB000CA8"</f>
        <v>CB000CA8</v>
      </c>
      <c r="B91" s="4" t="s">
        <v>372</v>
      </c>
      <c r="C91" s="4" t="s">
        <v>373</v>
      </c>
      <c r="D91" s="4" t="s">
        <v>374</v>
      </c>
      <c r="E91" s="4" t="s">
        <v>375</v>
      </c>
      <c r="F91" s="4"/>
      <c r="G91" s="4" t="s">
        <v>376</v>
      </c>
      <c r="H91" s="4" t="s">
        <v>26</v>
      </c>
      <c r="I91" s="4" t="str">
        <f>"44011"</f>
        <v>44011</v>
      </c>
      <c r="J91" s="4" t="s">
        <v>377</v>
      </c>
      <c r="K91" s="4" t="str">
        <f>"(P) 440-666-3705 (F) 440-365-7335"</f>
        <v>(P) 440-666-3705 (F) 440-365-7335</v>
      </c>
      <c r="L91" s="4" t="s">
        <v>378</v>
      </c>
      <c r="M91" s="4" t="s">
        <v>372</v>
      </c>
      <c r="N91" s="4" t="s">
        <v>375</v>
      </c>
      <c r="O91" s="4"/>
      <c r="P91" s="4" t="s">
        <v>376</v>
      </c>
      <c r="Q91" s="4" t="s">
        <v>26</v>
      </c>
      <c r="R91" s="4" t="str">
        <f>"44011"</f>
        <v>44011</v>
      </c>
      <c r="S91" s="4" t="s">
        <v>43</v>
      </c>
      <c r="T91" s="6">
        <v>44196</v>
      </c>
      <c r="U91" s="4" t="s">
        <v>29</v>
      </c>
    </row>
    <row r="92" spans="1:21" s="3" customFormat="1" ht="28.8" x14ac:dyDescent="0.3">
      <c r="A92" s="4" t="str">
        <f>"CB001EZE"</f>
        <v>CB001EZE</v>
      </c>
      <c r="B92" s="4" t="s">
        <v>1700</v>
      </c>
      <c r="C92" s="4" t="s">
        <v>1701</v>
      </c>
      <c r="D92" s="4" t="s">
        <v>1702</v>
      </c>
      <c r="E92" s="4" t="s">
        <v>1703</v>
      </c>
      <c r="F92" s="4"/>
      <c r="G92" s="4" t="s">
        <v>272</v>
      </c>
      <c r="H92" s="4" t="s">
        <v>26</v>
      </c>
      <c r="I92" s="4" t="str">
        <f>"43019"</f>
        <v>43019</v>
      </c>
      <c r="J92" s="4" t="s">
        <v>591</v>
      </c>
      <c r="K92" s="4" t="str">
        <f>"(P) 740-501-5906 (M) 740-501-2575"</f>
        <v>(P) 740-501-5906 (M) 740-501-2575</v>
      </c>
      <c r="L92" s="4" t="s">
        <v>1704</v>
      </c>
      <c r="M92" s="4" t="s">
        <v>1700</v>
      </c>
      <c r="N92" s="4" t="s">
        <v>1703</v>
      </c>
      <c r="O92" s="4"/>
      <c r="P92" s="4" t="s">
        <v>272</v>
      </c>
      <c r="Q92" s="4" t="s">
        <v>26</v>
      </c>
      <c r="R92" s="4" t="str">
        <f>"43019"</f>
        <v>43019</v>
      </c>
      <c r="S92" s="4" t="s">
        <v>591</v>
      </c>
      <c r="T92" s="6">
        <v>44196</v>
      </c>
      <c r="U92" s="4" t="s">
        <v>29</v>
      </c>
    </row>
    <row r="93" spans="1:21" s="3" customFormat="1" x14ac:dyDescent="0.3">
      <c r="A93" s="4" t="str">
        <f>"CB000RGA"</f>
        <v>CB000RGA</v>
      </c>
      <c r="B93" s="4" t="s">
        <v>1375</v>
      </c>
      <c r="C93" s="4" t="s">
        <v>1376</v>
      </c>
      <c r="D93" s="4" t="s">
        <v>1377</v>
      </c>
      <c r="E93" s="4" t="s">
        <v>1378</v>
      </c>
      <c r="F93" s="4"/>
      <c r="G93" s="4" t="s">
        <v>862</v>
      </c>
      <c r="H93" s="4" t="s">
        <v>26</v>
      </c>
      <c r="I93" s="4" t="str">
        <f>"44312"</f>
        <v>44312</v>
      </c>
      <c r="J93" s="4" t="s">
        <v>217</v>
      </c>
      <c r="K93" s="4" t="str">
        <f>"(P) 330-208-5092"</f>
        <v>(P) 330-208-5092</v>
      </c>
      <c r="L93" s="4" t="s">
        <v>1379</v>
      </c>
      <c r="M93" s="4" t="s">
        <v>1375</v>
      </c>
      <c r="N93" s="4" t="s">
        <v>1378</v>
      </c>
      <c r="O93" s="4"/>
      <c r="P93" s="4" t="s">
        <v>862</v>
      </c>
      <c r="Q93" s="4" t="s">
        <v>26</v>
      </c>
      <c r="R93" s="4" t="str">
        <f>"44312"</f>
        <v>44312</v>
      </c>
      <c r="S93" s="4" t="s">
        <v>217</v>
      </c>
      <c r="T93" s="6">
        <v>44196</v>
      </c>
      <c r="U93" s="4" t="s">
        <v>29</v>
      </c>
    </row>
    <row r="94" spans="1:21" s="3" customFormat="1" x14ac:dyDescent="0.3">
      <c r="A94" s="4" t="str">
        <f>"CB000CC4"</f>
        <v>CB000CC4</v>
      </c>
      <c r="B94" s="4" t="s">
        <v>379</v>
      </c>
      <c r="C94" s="4" t="s">
        <v>380</v>
      </c>
      <c r="D94" s="4" t="s">
        <v>381</v>
      </c>
      <c r="E94" s="4" t="s">
        <v>382</v>
      </c>
      <c r="F94" s="4"/>
      <c r="G94" s="4" t="s">
        <v>383</v>
      </c>
      <c r="H94" s="4" t="s">
        <v>26</v>
      </c>
      <c r="I94" s="4" t="str">
        <f>"44119"</f>
        <v>44119</v>
      </c>
      <c r="J94" s="4" t="s">
        <v>43</v>
      </c>
      <c r="K94" s="4" t="str">
        <f>"(M) 216-214-1149"</f>
        <v>(M) 216-214-1149</v>
      </c>
      <c r="L94" s="4" t="s">
        <v>384</v>
      </c>
      <c r="M94" s="4" t="s">
        <v>379</v>
      </c>
      <c r="N94" s="4" t="s">
        <v>382</v>
      </c>
      <c r="O94" s="4"/>
      <c r="P94" s="4" t="s">
        <v>383</v>
      </c>
      <c r="Q94" s="4" t="s">
        <v>26</v>
      </c>
      <c r="R94" s="4" t="str">
        <f>"44119"</f>
        <v>44119</v>
      </c>
      <c r="S94" s="4" t="s">
        <v>43</v>
      </c>
      <c r="T94" s="6">
        <v>44196</v>
      </c>
      <c r="U94" s="4" t="s">
        <v>29</v>
      </c>
    </row>
    <row r="95" spans="1:21" s="3" customFormat="1" ht="28.8" x14ac:dyDescent="0.3">
      <c r="A95" s="4" t="str">
        <f>"CB000CFX"</f>
        <v>CB000CFX</v>
      </c>
      <c r="B95" s="4" t="s">
        <v>385</v>
      </c>
      <c r="C95" s="4" t="s">
        <v>386</v>
      </c>
      <c r="D95" s="4" t="s">
        <v>387</v>
      </c>
      <c r="E95" s="4" t="s">
        <v>388</v>
      </c>
      <c r="F95" s="4"/>
      <c r="G95" s="4" t="s">
        <v>216</v>
      </c>
      <c r="H95" s="4" t="s">
        <v>26</v>
      </c>
      <c r="I95" s="4" t="str">
        <f>"44067"</f>
        <v>44067</v>
      </c>
      <c r="J95" s="4" t="s">
        <v>217</v>
      </c>
      <c r="K95" s="4" t="str">
        <f>"(P) 216-453-2670 (F) 330-748-4800 (M) 216-870-1733"</f>
        <v>(P) 216-453-2670 (F) 330-748-4800 (M) 216-870-1733</v>
      </c>
      <c r="L95" s="4" t="s">
        <v>389</v>
      </c>
      <c r="M95" s="4" t="s">
        <v>385</v>
      </c>
      <c r="N95" s="4" t="s">
        <v>390</v>
      </c>
      <c r="O95" s="4"/>
      <c r="P95" s="4" t="s">
        <v>391</v>
      </c>
      <c r="Q95" s="4" t="s">
        <v>26</v>
      </c>
      <c r="R95" s="4" t="str">
        <f>"44125"</f>
        <v>44125</v>
      </c>
      <c r="S95" s="4" t="s">
        <v>43</v>
      </c>
      <c r="T95" s="6">
        <v>44196</v>
      </c>
      <c r="U95" s="4" t="s">
        <v>29</v>
      </c>
    </row>
    <row r="96" spans="1:21" s="3" customFormat="1" ht="28.8" x14ac:dyDescent="0.3">
      <c r="A96" s="4" t="str">
        <f>"CB002BYL"</f>
        <v>CB002BYL</v>
      </c>
      <c r="B96" s="4" t="s">
        <v>1947</v>
      </c>
      <c r="C96" s="4" t="s">
        <v>1592</v>
      </c>
      <c r="D96" s="4" t="s">
        <v>1744</v>
      </c>
      <c r="E96" s="4" t="s">
        <v>1948</v>
      </c>
      <c r="F96" s="4"/>
      <c r="G96" s="4" t="s">
        <v>1934</v>
      </c>
      <c r="H96" s="4" t="s">
        <v>566</v>
      </c>
      <c r="I96" s="4" t="str">
        <f>"46220"</f>
        <v>46220</v>
      </c>
      <c r="J96" s="4" t="s">
        <v>1935</v>
      </c>
      <c r="K96" s="4" t="str">
        <f>"(P) 317-759-3647"</f>
        <v>(P) 317-759-3647</v>
      </c>
      <c r="L96" s="4" t="s">
        <v>1949</v>
      </c>
      <c r="M96" s="4" t="s">
        <v>1947</v>
      </c>
      <c r="N96" s="4" t="s">
        <v>1948</v>
      </c>
      <c r="O96" s="4"/>
      <c r="P96" s="4" t="s">
        <v>1934</v>
      </c>
      <c r="Q96" s="4" t="s">
        <v>566</v>
      </c>
      <c r="R96" s="4" t="str">
        <f>"46220"</f>
        <v>46220</v>
      </c>
      <c r="S96" s="4" t="s">
        <v>1935</v>
      </c>
      <c r="T96" s="6">
        <v>44196</v>
      </c>
      <c r="U96" s="4" t="s">
        <v>29</v>
      </c>
    </row>
    <row r="97" spans="1:21" s="3" customFormat="1" ht="28.8" x14ac:dyDescent="0.3">
      <c r="A97" s="4" t="str">
        <f>"CB000CHT"</f>
        <v>CB000CHT</v>
      </c>
      <c r="B97" s="4" t="s">
        <v>398</v>
      </c>
      <c r="C97" s="4" t="s">
        <v>399</v>
      </c>
      <c r="D97" s="4" t="s">
        <v>400</v>
      </c>
      <c r="E97" s="4" t="s">
        <v>401</v>
      </c>
      <c r="F97" s="4"/>
      <c r="G97" s="4" t="s">
        <v>402</v>
      </c>
      <c r="H97" s="4" t="s">
        <v>26</v>
      </c>
      <c r="I97" s="4" t="str">
        <f>"44136"</f>
        <v>44136</v>
      </c>
      <c r="J97" s="4" t="s">
        <v>43</v>
      </c>
      <c r="K97" s="4" t="str">
        <f>"(P) 440-376-0203 (F) 440-238-8357"</f>
        <v>(P) 440-376-0203 (F) 440-238-8357</v>
      </c>
      <c r="L97" s="4" t="s">
        <v>403</v>
      </c>
      <c r="M97" s="4" t="s">
        <v>398</v>
      </c>
      <c r="N97" s="4" t="s">
        <v>404</v>
      </c>
      <c r="O97" s="4"/>
      <c r="P97" s="4" t="s">
        <v>402</v>
      </c>
      <c r="Q97" s="4" t="s">
        <v>26</v>
      </c>
      <c r="R97" s="4" t="str">
        <f>"44136"</f>
        <v>44136</v>
      </c>
      <c r="S97" s="4" t="s">
        <v>43</v>
      </c>
      <c r="T97" s="6">
        <v>44196</v>
      </c>
      <c r="U97" s="4" t="s">
        <v>29</v>
      </c>
    </row>
    <row r="98" spans="1:21" s="3" customFormat="1" x14ac:dyDescent="0.3">
      <c r="A98" s="4" t="str">
        <f>"CB000CGV"</f>
        <v>CB000CGV</v>
      </c>
      <c r="B98" s="4" t="s">
        <v>392</v>
      </c>
      <c r="C98" s="4" t="s">
        <v>393</v>
      </c>
      <c r="D98" s="4" t="s">
        <v>394</v>
      </c>
      <c r="E98" s="4" t="s">
        <v>395</v>
      </c>
      <c r="F98" s="4"/>
      <c r="G98" s="4" t="s">
        <v>396</v>
      </c>
      <c r="H98" s="4" t="s">
        <v>26</v>
      </c>
      <c r="I98" s="4" t="str">
        <f>"44080"</f>
        <v>44080</v>
      </c>
      <c r="J98" s="4" t="s">
        <v>71</v>
      </c>
      <c r="K98" s="4" t="str">
        <f>"(M) 330-289-4640"</f>
        <v>(M) 330-289-4640</v>
      </c>
      <c r="L98" s="4" t="s">
        <v>397</v>
      </c>
      <c r="M98" s="4" t="s">
        <v>392</v>
      </c>
      <c r="N98" s="4" t="s">
        <v>395</v>
      </c>
      <c r="O98" s="4"/>
      <c r="P98" s="4" t="s">
        <v>396</v>
      </c>
      <c r="Q98" s="4" t="s">
        <v>26</v>
      </c>
      <c r="R98" s="4" t="str">
        <f>"44080"</f>
        <v>44080</v>
      </c>
      <c r="S98" s="4" t="s">
        <v>71</v>
      </c>
      <c r="T98" s="6">
        <v>44196</v>
      </c>
      <c r="U98" s="4" t="s">
        <v>29</v>
      </c>
    </row>
    <row r="99" spans="1:21" s="3" customFormat="1" ht="28.8" x14ac:dyDescent="0.3">
      <c r="A99" s="4" t="str">
        <f>"CB000CMK"</f>
        <v>CB000CMK</v>
      </c>
      <c r="B99" s="4" t="s">
        <v>405</v>
      </c>
      <c r="C99" s="4" t="s">
        <v>146</v>
      </c>
      <c r="D99" s="4" t="s">
        <v>406</v>
      </c>
      <c r="E99" s="4" t="s">
        <v>407</v>
      </c>
      <c r="F99" s="4"/>
      <c r="G99" s="4" t="s">
        <v>408</v>
      </c>
      <c r="H99" s="4" t="s">
        <v>26</v>
      </c>
      <c r="I99" s="4" t="str">
        <f>"44202"</f>
        <v>44202</v>
      </c>
      <c r="J99" s="4" t="s">
        <v>243</v>
      </c>
      <c r="K99" s="4" t="str">
        <f>"(P) 330-562-0555 (M) 440-554-7075"</f>
        <v>(P) 330-562-0555 (M) 440-554-7075</v>
      </c>
      <c r="L99" s="4" t="s">
        <v>409</v>
      </c>
      <c r="M99" s="4" t="s">
        <v>405</v>
      </c>
      <c r="N99" s="4" t="s">
        <v>410</v>
      </c>
      <c r="O99" s="4"/>
      <c r="P99" s="4" t="s">
        <v>411</v>
      </c>
      <c r="Q99" s="4" t="s">
        <v>26</v>
      </c>
      <c r="R99" s="4" t="str">
        <f>"44023"</f>
        <v>44023</v>
      </c>
      <c r="S99" s="4" t="s">
        <v>71</v>
      </c>
      <c r="T99" s="6">
        <v>44196</v>
      </c>
      <c r="U99" s="4" t="s">
        <v>29</v>
      </c>
    </row>
    <row r="100" spans="1:21" s="3" customFormat="1" ht="28.8" x14ac:dyDescent="0.3">
      <c r="A100" s="4" t="str">
        <f>"CB0018QM"</f>
        <v>CB0018QM</v>
      </c>
      <c r="B100" s="4" t="s">
        <v>1564</v>
      </c>
      <c r="C100" s="4" t="s">
        <v>1485</v>
      </c>
      <c r="D100" s="4" t="s">
        <v>1565</v>
      </c>
      <c r="E100" s="4" t="s">
        <v>1566</v>
      </c>
      <c r="F100" s="4"/>
      <c r="G100" s="4" t="s">
        <v>1567</v>
      </c>
      <c r="H100" s="4" t="s">
        <v>26</v>
      </c>
      <c r="I100" s="4" t="str">
        <f>"45674"</f>
        <v>45674</v>
      </c>
      <c r="J100" s="4" t="s">
        <v>1568</v>
      </c>
      <c r="K100" s="4" t="str">
        <f>"(P) 740-245-5653 (P) 740-352-0454"</f>
        <v>(P) 740-245-5653 (P) 740-352-0454</v>
      </c>
      <c r="L100" s="4" t="s">
        <v>1569</v>
      </c>
      <c r="M100" s="4" t="s">
        <v>1564</v>
      </c>
      <c r="N100" s="4" t="s">
        <v>1570</v>
      </c>
      <c r="O100" s="4"/>
      <c r="P100" s="4" t="s">
        <v>1571</v>
      </c>
      <c r="Q100" s="4" t="s">
        <v>26</v>
      </c>
      <c r="R100" s="4" t="str">
        <f>"45614"</f>
        <v>45614</v>
      </c>
      <c r="S100" s="4" t="s">
        <v>1568</v>
      </c>
      <c r="T100" s="6">
        <v>44196</v>
      </c>
      <c r="U100" s="4" t="s">
        <v>29</v>
      </c>
    </row>
    <row r="101" spans="1:21" s="3" customFormat="1" x14ac:dyDescent="0.3">
      <c r="A101" s="4" t="str">
        <f>"CB000CQD"</f>
        <v>CB000CQD</v>
      </c>
      <c r="B101" s="4" t="s">
        <v>412</v>
      </c>
      <c r="C101" s="4" t="s">
        <v>413</v>
      </c>
      <c r="D101" s="4" t="s">
        <v>414</v>
      </c>
      <c r="E101" s="4" t="s">
        <v>415</v>
      </c>
      <c r="F101" s="4"/>
      <c r="G101" s="4" t="s">
        <v>416</v>
      </c>
      <c r="H101" s="4" t="s">
        <v>26</v>
      </c>
      <c r="I101" s="4" t="str">
        <f>"45701"</f>
        <v>45701</v>
      </c>
      <c r="J101" s="4" t="s">
        <v>417</v>
      </c>
      <c r="K101" s="4" t="str">
        <f>"(M) 740-590-3635"</f>
        <v>(M) 740-590-3635</v>
      </c>
      <c r="L101" s="4" t="s">
        <v>418</v>
      </c>
      <c r="M101" s="4" t="s">
        <v>412</v>
      </c>
      <c r="N101" s="4" t="s">
        <v>415</v>
      </c>
      <c r="O101" s="4"/>
      <c r="P101" s="4" t="s">
        <v>416</v>
      </c>
      <c r="Q101" s="4" t="s">
        <v>26</v>
      </c>
      <c r="R101" s="4" t="str">
        <f>"45701"</f>
        <v>45701</v>
      </c>
      <c r="S101" s="4" t="s">
        <v>417</v>
      </c>
      <c r="T101" s="6">
        <v>44196</v>
      </c>
      <c r="U101" s="4" t="s">
        <v>29</v>
      </c>
    </row>
    <row r="102" spans="1:21" s="3" customFormat="1" ht="28.8" x14ac:dyDescent="0.3">
      <c r="A102" s="4" t="str">
        <f>"CB000LKQ"</f>
        <v>CB000LKQ</v>
      </c>
      <c r="B102" s="4" t="s">
        <v>1155</v>
      </c>
      <c r="C102" s="4" t="s">
        <v>454</v>
      </c>
      <c r="D102" s="4" t="s">
        <v>1156</v>
      </c>
      <c r="E102" s="4" t="s">
        <v>1157</v>
      </c>
      <c r="F102" s="4"/>
      <c r="G102" s="4" t="s">
        <v>1158</v>
      </c>
      <c r="H102" s="4" t="s">
        <v>26</v>
      </c>
      <c r="I102" s="4" t="str">
        <f>"43451"</f>
        <v>43451</v>
      </c>
      <c r="J102" s="4" t="s">
        <v>897</v>
      </c>
      <c r="K102" s="4" t="str">
        <f>"(P) 419-494-5436 (P) 419-494-5436"</f>
        <v>(P) 419-494-5436 (P) 419-494-5436</v>
      </c>
      <c r="L102" s="4" t="s">
        <v>1159</v>
      </c>
      <c r="M102" s="4" t="s">
        <v>1155</v>
      </c>
      <c r="N102" s="4" t="s">
        <v>1157</v>
      </c>
      <c r="O102" s="4"/>
      <c r="P102" s="4" t="s">
        <v>1158</v>
      </c>
      <c r="Q102" s="4" t="s">
        <v>26</v>
      </c>
      <c r="R102" s="4" t="str">
        <f>"43451"</f>
        <v>43451</v>
      </c>
      <c r="S102" s="4" t="s">
        <v>897</v>
      </c>
      <c r="T102" s="6">
        <v>44196</v>
      </c>
      <c r="U102" s="4" t="s">
        <v>29</v>
      </c>
    </row>
    <row r="103" spans="1:21" s="3" customFormat="1" ht="28.8" x14ac:dyDescent="0.3">
      <c r="A103" s="4" t="str">
        <f>"CB000CRB"</f>
        <v>CB000CRB</v>
      </c>
      <c r="B103" s="4" t="s">
        <v>419</v>
      </c>
      <c r="C103" s="4" t="s">
        <v>420</v>
      </c>
      <c r="D103" s="4" t="s">
        <v>421</v>
      </c>
      <c r="E103" s="4" t="s">
        <v>422</v>
      </c>
      <c r="F103" s="4"/>
      <c r="G103" s="4" t="s">
        <v>423</v>
      </c>
      <c r="H103" s="4" t="s">
        <v>26</v>
      </c>
      <c r="I103" s="4" t="str">
        <f>"44663"</f>
        <v>44663</v>
      </c>
      <c r="J103" s="4" t="s">
        <v>424</v>
      </c>
      <c r="K103" s="4" t="str">
        <f>"(P) 330-465-6040"</f>
        <v>(P) 330-465-6040</v>
      </c>
      <c r="L103" s="4" t="s">
        <v>425</v>
      </c>
      <c r="M103" s="4" t="s">
        <v>419</v>
      </c>
      <c r="N103" s="4" t="s">
        <v>426</v>
      </c>
      <c r="O103" s="4"/>
      <c r="P103" s="4" t="s">
        <v>423</v>
      </c>
      <c r="Q103" s="4" t="s">
        <v>26</v>
      </c>
      <c r="R103" s="4" t="str">
        <f>"44663"</f>
        <v>44663</v>
      </c>
      <c r="S103" s="4" t="s">
        <v>424</v>
      </c>
      <c r="T103" s="6">
        <v>44196</v>
      </c>
      <c r="U103" s="4" t="s">
        <v>29</v>
      </c>
    </row>
    <row r="104" spans="1:21" s="3" customFormat="1" ht="28.8" x14ac:dyDescent="0.3">
      <c r="A104" s="4" t="str">
        <f>"CB0010AD"</f>
        <v>CB0010AD</v>
      </c>
      <c r="B104" s="4" t="s">
        <v>1448</v>
      </c>
      <c r="C104" s="4" t="s">
        <v>1449</v>
      </c>
      <c r="D104" s="4" t="s">
        <v>1450</v>
      </c>
      <c r="E104" s="4" t="s">
        <v>1451</v>
      </c>
      <c r="F104" s="4"/>
      <c r="G104" s="4" t="s">
        <v>1452</v>
      </c>
      <c r="H104" s="4" t="s">
        <v>26</v>
      </c>
      <c r="I104" s="4" t="str">
        <f>"44201"</f>
        <v>44201</v>
      </c>
      <c r="J104" s="4" t="s">
        <v>243</v>
      </c>
      <c r="K104" s="4" t="str">
        <f>"(P) 330-935-0613 (F) 330-935-0613 (M) 330-614-0940"</f>
        <v>(P) 330-935-0613 (F) 330-935-0613 (M) 330-614-0940</v>
      </c>
      <c r="L104" s="4" t="s">
        <v>1453</v>
      </c>
      <c r="M104" s="4" t="s">
        <v>1448</v>
      </c>
      <c r="N104" s="4" t="s">
        <v>1451</v>
      </c>
      <c r="O104" s="4"/>
      <c r="P104" s="4" t="s">
        <v>1452</v>
      </c>
      <c r="Q104" s="4" t="s">
        <v>26</v>
      </c>
      <c r="R104" s="4" t="str">
        <f>"44201"</f>
        <v>44201</v>
      </c>
      <c r="S104" s="4" t="s">
        <v>243</v>
      </c>
      <c r="T104" s="6">
        <v>44196</v>
      </c>
      <c r="U104" s="4" t="s">
        <v>29</v>
      </c>
    </row>
    <row r="105" spans="1:21" s="3" customFormat="1" ht="28.8" x14ac:dyDescent="0.3">
      <c r="A105" s="4" t="str">
        <f>"CB000CS9"</f>
        <v>CB000CS9</v>
      </c>
      <c r="B105" s="4" t="s">
        <v>427</v>
      </c>
      <c r="C105" s="4" t="s">
        <v>428</v>
      </c>
      <c r="D105" s="4" t="s">
        <v>429</v>
      </c>
      <c r="E105" s="4" t="s">
        <v>430</v>
      </c>
      <c r="F105" s="4"/>
      <c r="G105" s="4" t="s">
        <v>431</v>
      </c>
      <c r="H105" s="4" t="s">
        <v>26</v>
      </c>
      <c r="I105" s="4" t="str">
        <f>"44072"</f>
        <v>44072</v>
      </c>
      <c r="J105" s="4" t="s">
        <v>71</v>
      </c>
      <c r="K105" s="4" t="str">
        <f>"(P) 440-338-4819 (P) 440-338-4855"</f>
        <v>(P) 440-338-4819 (P) 440-338-4855</v>
      </c>
      <c r="L105" s="4" t="s">
        <v>432</v>
      </c>
      <c r="M105" s="4" t="s">
        <v>433</v>
      </c>
      <c r="N105" s="4" t="s">
        <v>430</v>
      </c>
      <c r="O105" s="4"/>
      <c r="P105" s="4" t="s">
        <v>431</v>
      </c>
      <c r="Q105" s="4" t="s">
        <v>26</v>
      </c>
      <c r="R105" s="4" t="str">
        <f>"44072"</f>
        <v>44072</v>
      </c>
      <c r="S105" s="4" t="s">
        <v>71</v>
      </c>
      <c r="T105" s="6">
        <v>44196</v>
      </c>
      <c r="U105" s="4" t="s">
        <v>29</v>
      </c>
    </row>
    <row r="106" spans="1:21" s="3" customFormat="1" ht="28.8" x14ac:dyDescent="0.3">
      <c r="A106" s="4" t="str">
        <f>"CB002AER"</f>
        <v>CB002AER</v>
      </c>
      <c r="B106" s="4" t="s">
        <v>1909</v>
      </c>
      <c r="C106" s="4" t="s">
        <v>1910</v>
      </c>
      <c r="D106" s="4" t="s">
        <v>1911</v>
      </c>
      <c r="E106" s="4" t="s">
        <v>1912</v>
      </c>
      <c r="F106" s="4"/>
      <c r="G106" s="4" t="s">
        <v>1913</v>
      </c>
      <c r="H106" s="4" t="s">
        <v>26</v>
      </c>
      <c r="I106" s="4" t="str">
        <f>"44132"</f>
        <v>44132</v>
      </c>
      <c r="J106" s="4" t="s">
        <v>43</v>
      </c>
      <c r="K106" s="4" t="str">
        <f>"(P) 216-289-2057 (M) 216-299-4157"</f>
        <v>(P) 216-289-2057 (M) 216-299-4157</v>
      </c>
      <c r="L106" s="4" t="s">
        <v>1914</v>
      </c>
      <c r="M106" s="4" t="s">
        <v>1909</v>
      </c>
      <c r="N106" s="4" t="s">
        <v>1912</v>
      </c>
      <c r="O106" s="4"/>
      <c r="P106" s="4" t="s">
        <v>1913</v>
      </c>
      <c r="Q106" s="4" t="s">
        <v>26</v>
      </c>
      <c r="R106" s="4" t="str">
        <f>"44132-2629"</f>
        <v>44132-2629</v>
      </c>
      <c r="S106" s="4" t="s">
        <v>43</v>
      </c>
      <c r="T106" s="6">
        <v>44196</v>
      </c>
      <c r="U106" s="4" t="s">
        <v>29</v>
      </c>
    </row>
    <row r="107" spans="1:21" s="3" customFormat="1" ht="28.8" x14ac:dyDescent="0.3">
      <c r="A107" s="4" t="str">
        <f>"CB001HJW"</f>
        <v>CB001HJW</v>
      </c>
      <c r="B107" s="4" t="s">
        <v>1753</v>
      </c>
      <c r="C107" s="4" t="s">
        <v>1723</v>
      </c>
      <c r="D107" s="4" t="s">
        <v>1754</v>
      </c>
      <c r="E107" s="4" t="s">
        <v>1755</v>
      </c>
      <c r="F107" s="4"/>
      <c r="G107" s="4" t="s">
        <v>583</v>
      </c>
      <c r="H107" s="4" t="s">
        <v>26</v>
      </c>
      <c r="I107" s="4" t="str">
        <f>"45405"</f>
        <v>45405</v>
      </c>
      <c r="J107" s="4" t="s">
        <v>58</v>
      </c>
      <c r="K107" s="4" t="str">
        <f>"(P) 937-277-4652 (M) 937-245-0496"</f>
        <v>(P) 937-277-4652 (M) 937-245-0496</v>
      </c>
      <c r="L107" s="4" t="s">
        <v>1756</v>
      </c>
      <c r="M107" s="4" t="s">
        <v>1757</v>
      </c>
      <c r="N107" s="4" t="s">
        <v>1755</v>
      </c>
      <c r="O107" s="4"/>
      <c r="P107" s="4" t="s">
        <v>583</v>
      </c>
      <c r="Q107" s="4" t="s">
        <v>26</v>
      </c>
      <c r="R107" s="4" t="str">
        <f>"45405"</f>
        <v>45405</v>
      </c>
      <c r="S107" s="4" t="s">
        <v>58</v>
      </c>
      <c r="T107" s="6">
        <v>44196</v>
      </c>
      <c r="U107" s="4" t="s">
        <v>29</v>
      </c>
    </row>
    <row r="108" spans="1:21" s="3" customFormat="1" ht="28.8" x14ac:dyDescent="0.3">
      <c r="A108" s="4" t="str">
        <f>"CB000CV3"</f>
        <v>CB000CV3</v>
      </c>
      <c r="B108" s="4" t="s">
        <v>439</v>
      </c>
      <c r="C108" s="4" t="s">
        <v>440</v>
      </c>
      <c r="D108" s="4" t="s">
        <v>441</v>
      </c>
      <c r="E108" s="4" t="s">
        <v>442</v>
      </c>
      <c r="F108" s="4"/>
      <c r="G108" s="4" t="s">
        <v>383</v>
      </c>
      <c r="H108" s="4" t="s">
        <v>26</v>
      </c>
      <c r="I108" s="4" t="str">
        <f>"44124"</f>
        <v>44124</v>
      </c>
      <c r="J108" s="4" t="s">
        <v>43</v>
      </c>
      <c r="K108" s="4" t="str">
        <f>"(P) 216-229-0295 (F) 330-854-9488 (M) 216-533-9410"</f>
        <v>(P) 216-229-0295 (F) 330-854-9488 (M) 216-533-9410</v>
      </c>
      <c r="L108" s="4" t="s">
        <v>443</v>
      </c>
      <c r="M108" s="4" t="s">
        <v>439</v>
      </c>
      <c r="N108" s="4" t="s">
        <v>442</v>
      </c>
      <c r="O108" s="4"/>
      <c r="P108" s="4" t="s">
        <v>383</v>
      </c>
      <c r="Q108" s="4" t="s">
        <v>26</v>
      </c>
      <c r="R108" s="4" t="str">
        <f>"44124"</f>
        <v>44124</v>
      </c>
      <c r="S108" s="4" t="s">
        <v>43</v>
      </c>
      <c r="T108" s="6">
        <v>44196</v>
      </c>
      <c r="U108" s="4" t="s">
        <v>29</v>
      </c>
    </row>
    <row r="109" spans="1:21" s="3" customFormat="1" ht="28.8" x14ac:dyDescent="0.3">
      <c r="A109" s="4" t="str">
        <f>"CB000CW1"</f>
        <v>CB000CW1</v>
      </c>
      <c r="B109" s="4" t="s">
        <v>444</v>
      </c>
      <c r="C109" s="4" t="s">
        <v>445</v>
      </c>
      <c r="D109" s="4" t="s">
        <v>446</v>
      </c>
      <c r="E109" s="4" t="s">
        <v>447</v>
      </c>
      <c r="F109" s="4"/>
      <c r="G109" s="4" t="s">
        <v>448</v>
      </c>
      <c r="H109" s="4" t="s">
        <v>26</v>
      </c>
      <c r="I109" s="4" t="str">
        <f>"40206"</f>
        <v>40206</v>
      </c>
      <c r="J109" s="4" t="s">
        <v>449</v>
      </c>
      <c r="K109" s="4" t="str">
        <f>"(P) 866-981-2251"</f>
        <v>(P) 866-981-2251</v>
      </c>
      <c r="L109" s="4" t="s">
        <v>450</v>
      </c>
      <c r="M109" s="4" t="s">
        <v>444</v>
      </c>
      <c r="N109" s="4" t="s">
        <v>451</v>
      </c>
      <c r="O109" s="4"/>
      <c r="P109" s="4" t="s">
        <v>448</v>
      </c>
      <c r="Q109" s="4" t="s">
        <v>452</v>
      </c>
      <c r="R109" s="4" t="str">
        <f>"40222"</f>
        <v>40222</v>
      </c>
      <c r="S109" s="4" t="s">
        <v>449</v>
      </c>
      <c r="T109" s="6">
        <v>44196</v>
      </c>
      <c r="U109" s="4" t="s">
        <v>29</v>
      </c>
    </row>
    <row r="110" spans="1:21" s="3" customFormat="1" ht="28.8" x14ac:dyDescent="0.3">
      <c r="A110" s="4" t="str">
        <f>"CB000CU5"</f>
        <v>CB000CU5</v>
      </c>
      <c r="B110" s="4" t="s">
        <v>434</v>
      </c>
      <c r="C110" s="4" t="s">
        <v>31</v>
      </c>
      <c r="D110" s="4" t="s">
        <v>435</v>
      </c>
      <c r="E110" s="4" t="s">
        <v>436</v>
      </c>
      <c r="F110" s="4"/>
      <c r="G110" s="4" t="s">
        <v>437</v>
      </c>
      <c r="H110" s="4" t="s">
        <v>26</v>
      </c>
      <c r="I110" s="4" t="str">
        <f>"43566"</f>
        <v>43566</v>
      </c>
      <c r="J110" s="4" t="s">
        <v>358</v>
      </c>
      <c r="K110" s="4" t="str">
        <f>"(P) 419-787-3317 (F) 419-356-3429"</f>
        <v>(P) 419-787-3317 (F) 419-356-3429</v>
      </c>
      <c r="L110" s="4" t="s">
        <v>438</v>
      </c>
      <c r="M110" s="4" t="s">
        <v>434</v>
      </c>
      <c r="N110" s="4" t="s">
        <v>436</v>
      </c>
      <c r="O110" s="4"/>
      <c r="P110" s="4" t="s">
        <v>437</v>
      </c>
      <c r="Q110" s="4" t="s">
        <v>26</v>
      </c>
      <c r="R110" s="4" t="str">
        <f>"43566"</f>
        <v>43566</v>
      </c>
      <c r="S110" s="4" t="s">
        <v>358</v>
      </c>
      <c r="T110" s="6">
        <v>44196</v>
      </c>
      <c r="U110" s="4" t="s">
        <v>29</v>
      </c>
    </row>
    <row r="111" spans="1:21" s="3" customFormat="1" x14ac:dyDescent="0.3">
      <c r="A111" s="4" t="str">
        <f>"CB0029V0"</f>
        <v>CB0029V0</v>
      </c>
      <c r="B111" s="4" t="s">
        <v>1855</v>
      </c>
      <c r="C111" s="4"/>
      <c r="D111" s="4"/>
      <c r="E111" s="4" t="s">
        <v>1856</v>
      </c>
      <c r="F111" s="4"/>
      <c r="G111" s="4" t="s">
        <v>1072</v>
      </c>
      <c r="H111" s="4" t="s">
        <v>26</v>
      </c>
      <c r="I111" s="4" t="str">
        <f>"44139"</f>
        <v>44139</v>
      </c>
      <c r="J111" s="4" t="s">
        <v>43</v>
      </c>
      <c r="K111" s="4" t="str">
        <f>"(P) 440-292-7970"</f>
        <v>(P) 440-292-7970</v>
      </c>
      <c r="L111" s="4" t="s">
        <v>1857</v>
      </c>
      <c r="M111" s="4" t="s">
        <v>1858</v>
      </c>
      <c r="N111" s="4" t="s">
        <v>1856</v>
      </c>
      <c r="O111" s="4"/>
      <c r="P111" s="4" t="s">
        <v>1072</v>
      </c>
      <c r="Q111" s="4" t="s">
        <v>26</v>
      </c>
      <c r="R111" s="4" t="str">
        <f>"44139"</f>
        <v>44139</v>
      </c>
      <c r="S111" s="4" t="s">
        <v>43</v>
      </c>
      <c r="T111" s="6">
        <v>44196</v>
      </c>
      <c r="U111" s="4" t="s">
        <v>29</v>
      </c>
    </row>
    <row r="112" spans="1:21" s="3" customFormat="1" x14ac:dyDescent="0.3">
      <c r="A112" s="4" t="str">
        <f>"CB002BSY"</f>
        <v>CB002BSY</v>
      </c>
      <c r="B112" s="4" t="s">
        <v>1925</v>
      </c>
      <c r="C112" s="4" t="s">
        <v>1926</v>
      </c>
      <c r="D112" s="4" t="s">
        <v>1927</v>
      </c>
      <c r="E112" s="4" t="s">
        <v>1928</v>
      </c>
      <c r="F112" s="4"/>
      <c r="G112" s="4" t="s">
        <v>1527</v>
      </c>
      <c r="H112" s="4" t="s">
        <v>26</v>
      </c>
      <c r="I112" s="4" t="str">
        <f>"43102"</f>
        <v>43102</v>
      </c>
      <c r="J112" s="4" t="s">
        <v>512</v>
      </c>
      <c r="K112" s="4" t="str">
        <f>"(P) 740-270-5277"</f>
        <v>(P) 740-270-5277</v>
      </c>
      <c r="L112" s="4"/>
      <c r="M112" s="4" t="s">
        <v>1925</v>
      </c>
      <c r="N112" s="4" t="s">
        <v>1929</v>
      </c>
      <c r="O112" s="4"/>
      <c r="P112" s="4" t="s">
        <v>1659</v>
      </c>
      <c r="Q112" s="4" t="s">
        <v>26</v>
      </c>
      <c r="R112" s="4" t="str">
        <f>"43130"</f>
        <v>43130</v>
      </c>
      <c r="S112" s="4" t="s">
        <v>512</v>
      </c>
      <c r="T112" s="6">
        <v>44196</v>
      </c>
      <c r="U112" s="4" t="s">
        <v>29</v>
      </c>
    </row>
    <row r="113" spans="1:21" s="3" customFormat="1" ht="28.8" x14ac:dyDescent="0.3">
      <c r="A113" s="4" t="str">
        <f>"CB000V4J"</f>
        <v>CB000V4J</v>
      </c>
      <c r="B113" s="4" t="s">
        <v>1434</v>
      </c>
      <c r="C113" s="4" t="s">
        <v>1435</v>
      </c>
      <c r="D113" s="4" t="s">
        <v>1436</v>
      </c>
      <c r="E113" s="4" t="s">
        <v>1437</v>
      </c>
      <c r="F113" s="4"/>
      <c r="G113" s="4" t="s">
        <v>1438</v>
      </c>
      <c r="H113" s="4" t="s">
        <v>26</v>
      </c>
      <c r="I113" s="4" t="str">
        <f>"45601"</f>
        <v>45601</v>
      </c>
      <c r="J113" s="4" t="s">
        <v>1439</v>
      </c>
      <c r="K113" s="4" t="str">
        <f>"(P) 740-466-5055"</f>
        <v>(P) 740-466-5055</v>
      </c>
      <c r="L113" s="4" t="s">
        <v>1440</v>
      </c>
      <c r="M113" s="4" t="s">
        <v>1434</v>
      </c>
      <c r="N113" s="4" t="s">
        <v>1437</v>
      </c>
      <c r="O113" s="4"/>
      <c r="P113" s="4" t="s">
        <v>1438</v>
      </c>
      <c r="Q113" s="4" t="s">
        <v>26</v>
      </c>
      <c r="R113" s="4" t="str">
        <f>"45601"</f>
        <v>45601</v>
      </c>
      <c r="S113" s="4" t="s">
        <v>1439</v>
      </c>
      <c r="T113" s="6">
        <v>44196</v>
      </c>
      <c r="U113" s="4" t="s">
        <v>29</v>
      </c>
    </row>
    <row r="114" spans="1:21" s="3" customFormat="1" x14ac:dyDescent="0.3">
      <c r="A114" s="4" t="str">
        <f>"CB001FDF"</f>
        <v>CB001FDF</v>
      </c>
      <c r="B114" s="4" t="s">
        <v>1722</v>
      </c>
      <c r="C114" s="4" t="s">
        <v>1723</v>
      </c>
      <c r="D114" s="4" t="s">
        <v>1724</v>
      </c>
      <c r="E114" s="4" t="s">
        <v>1725</v>
      </c>
      <c r="F114" s="4"/>
      <c r="G114" s="4" t="s">
        <v>1726</v>
      </c>
      <c r="H114" s="4" t="s">
        <v>26</v>
      </c>
      <c r="I114" s="4" t="str">
        <f>"44280"</f>
        <v>44280</v>
      </c>
      <c r="J114" s="4" t="s">
        <v>501</v>
      </c>
      <c r="K114" s="4" t="str">
        <f>"(M) 216-407-2397"</f>
        <v>(M) 216-407-2397</v>
      </c>
      <c r="L114" s="4" t="s">
        <v>1727</v>
      </c>
      <c r="M114" s="4" t="s">
        <v>1722</v>
      </c>
      <c r="N114" s="4" t="s">
        <v>1725</v>
      </c>
      <c r="O114" s="4"/>
      <c r="P114" s="4" t="s">
        <v>1726</v>
      </c>
      <c r="Q114" s="4" t="s">
        <v>26</v>
      </c>
      <c r="R114" s="4" t="str">
        <f>"44280"</f>
        <v>44280</v>
      </c>
      <c r="S114" s="4" t="s">
        <v>501</v>
      </c>
      <c r="T114" s="6">
        <v>44196</v>
      </c>
      <c r="U114" s="4" t="s">
        <v>29</v>
      </c>
    </row>
    <row r="115" spans="1:21" s="3" customFormat="1" x14ac:dyDescent="0.3">
      <c r="A115" s="4" t="str">
        <f>"CB000D2L"</f>
        <v>CB000D2L</v>
      </c>
      <c r="B115" s="4" t="s">
        <v>453</v>
      </c>
      <c r="C115" s="4" t="s">
        <v>454</v>
      </c>
      <c r="D115" s="4" t="s">
        <v>455</v>
      </c>
      <c r="E115" s="4" t="s">
        <v>456</v>
      </c>
      <c r="F115" s="4"/>
      <c r="G115" s="4" t="s">
        <v>457</v>
      </c>
      <c r="H115" s="4" t="s">
        <v>458</v>
      </c>
      <c r="I115" s="4" t="str">
        <f>"48822"</f>
        <v>48822</v>
      </c>
      <c r="J115" s="4" t="s">
        <v>459</v>
      </c>
      <c r="K115" s="4" t="str">
        <f>"(P) 517-256-6673"</f>
        <v>(P) 517-256-6673</v>
      </c>
      <c r="L115" s="4" t="s">
        <v>460</v>
      </c>
      <c r="M115" s="4" t="s">
        <v>453</v>
      </c>
      <c r="N115" s="4" t="s">
        <v>456</v>
      </c>
      <c r="O115" s="4"/>
      <c r="P115" s="4" t="s">
        <v>457</v>
      </c>
      <c r="Q115" s="4" t="s">
        <v>458</v>
      </c>
      <c r="R115" s="4" t="str">
        <f>"48822"</f>
        <v>48822</v>
      </c>
      <c r="S115" s="4" t="s">
        <v>459</v>
      </c>
      <c r="T115" s="6">
        <v>44196</v>
      </c>
      <c r="U115" s="4" t="s">
        <v>29</v>
      </c>
    </row>
    <row r="116" spans="1:21" s="3" customFormat="1" ht="28.8" x14ac:dyDescent="0.3">
      <c r="A116" s="4" t="str">
        <f>"CB000MYT"</f>
        <v>CB000MYT</v>
      </c>
      <c r="B116" s="4" t="s">
        <v>1309</v>
      </c>
      <c r="C116" s="4" t="s">
        <v>1310</v>
      </c>
      <c r="D116" s="4" t="s">
        <v>1311</v>
      </c>
      <c r="E116" s="4" t="s">
        <v>1312</v>
      </c>
      <c r="F116" s="4"/>
      <c r="G116" s="4" t="s">
        <v>1313</v>
      </c>
      <c r="H116" s="4" t="s">
        <v>458</v>
      </c>
      <c r="I116" s="4" t="str">
        <f>"49643"</f>
        <v>49643</v>
      </c>
      <c r="J116" s="4" t="s">
        <v>1314</v>
      </c>
      <c r="K116" s="4" t="str">
        <f>"(P) 231-620-5518 (M) 231-620-5518"</f>
        <v>(P) 231-620-5518 (M) 231-620-5518</v>
      </c>
      <c r="L116" s="4" t="s">
        <v>1315</v>
      </c>
      <c r="M116" s="4" t="s">
        <v>1309</v>
      </c>
      <c r="N116" s="4" t="s">
        <v>1312</v>
      </c>
      <c r="O116" s="4"/>
      <c r="P116" s="4" t="s">
        <v>1313</v>
      </c>
      <c r="Q116" s="4" t="s">
        <v>458</v>
      </c>
      <c r="R116" s="4" t="str">
        <f>"49643"</f>
        <v>49643</v>
      </c>
      <c r="S116" s="4" t="s">
        <v>1314</v>
      </c>
      <c r="T116" s="6">
        <v>44196</v>
      </c>
      <c r="U116" s="4" t="s">
        <v>29</v>
      </c>
    </row>
    <row r="117" spans="1:21" s="3" customFormat="1" ht="28.8" x14ac:dyDescent="0.3">
      <c r="A117" s="4" t="str">
        <f>"CB000S6S"</f>
        <v>CB000S6S</v>
      </c>
      <c r="B117" s="4" t="s">
        <v>1393</v>
      </c>
      <c r="C117" s="4" t="s">
        <v>440</v>
      </c>
      <c r="D117" s="4" t="s">
        <v>1394</v>
      </c>
      <c r="E117" s="4" t="s">
        <v>1395</v>
      </c>
      <c r="F117" s="4"/>
      <c r="G117" s="4" t="s">
        <v>1396</v>
      </c>
      <c r="H117" s="4" t="s">
        <v>26</v>
      </c>
      <c r="I117" s="4" t="str">
        <f>"45056"</f>
        <v>45056</v>
      </c>
      <c r="J117" s="4" t="s">
        <v>956</v>
      </c>
      <c r="K117" s="4" t="str">
        <f>"(P) 513-273-4969"</f>
        <v>(P) 513-273-4969</v>
      </c>
      <c r="L117" s="4" t="s">
        <v>1397</v>
      </c>
      <c r="M117" s="4" t="s">
        <v>1393</v>
      </c>
      <c r="N117" s="4" t="s">
        <v>1395</v>
      </c>
      <c r="O117" s="4"/>
      <c r="P117" s="4" t="s">
        <v>1396</v>
      </c>
      <c r="Q117" s="4" t="s">
        <v>26</v>
      </c>
      <c r="R117" s="4" t="str">
        <f>"45056"</f>
        <v>45056</v>
      </c>
      <c r="S117" s="4" t="s">
        <v>956</v>
      </c>
      <c r="T117" s="6">
        <v>44196</v>
      </c>
      <c r="U117" s="4" t="s">
        <v>29</v>
      </c>
    </row>
    <row r="118" spans="1:21" s="3" customFormat="1" ht="28.8" x14ac:dyDescent="0.3">
      <c r="A118" s="4" t="str">
        <f>"CB000D4G"</f>
        <v>CB000D4G</v>
      </c>
      <c r="B118" s="4" t="s">
        <v>461</v>
      </c>
      <c r="C118" s="4" t="s">
        <v>462</v>
      </c>
      <c r="D118" s="4" t="s">
        <v>463</v>
      </c>
      <c r="E118" s="4" t="s">
        <v>464</v>
      </c>
      <c r="F118" s="4"/>
      <c r="G118" s="4" t="s">
        <v>465</v>
      </c>
      <c r="H118" s="4" t="s">
        <v>26</v>
      </c>
      <c r="I118" s="4" t="str">
        <f>"45309"</f>
        <v>45309</v>
      </c>
      <c r="J118" s="4" t="s">
        <v>58</v>
      </c>
      <c r="K118" s="4" t="str">
        <f>"(P) 937-830-2020"</f>
        <v>(P) 937-830-2020</v>
      </c>
      <c r="L118" s="4" t="s">
        <v>466</v>
      </c>
      <c r="M118" s="4" t="s">
        <v>461</v>
      </c>
      <c r="N118" s="4" t="s">
        <v>467</v>
      </c>
      <c r="O118" s="4"/>
      <c r="P118" s="4" t="s">
        <v>468</v>
      </c>
      <c r="Q118" s="4" t="s">
        <v>26</v>
      </c>
      <c r="R118" s="4" t="str">
        <f>"45309"</f>
        <v>45309</v>
      </c>
      <c r="S118" s="4" t="s">
        <v>58</v>
      </c>
      <c r="T118" s="6">
        <v>44196</v>
      </c>
      <c r="U118" s="4" t="s">
        <v>29</v>
      </c>
    </row>
    <row r="119" spans="1:21" s="3" customFormat="1" ht="28.8" x14ac:dyDescent="0.3">
      <c r="A119" s="4" t="str">
        <f>"CB000D5E"</f>
        <v>CB000D5E</v>
      </c>
      <c r="B119" s="4" t="s">
        <v>469</v>
      </c>
      <c r="C119" s="4" t="s">
        <v>470</v>
      </c>
      <c r="D119" s="4" t="s">
        <v>154</v>
      </c>
      <c r="E119" s="4" t="s">
        <v>471</v>
      </c>
      <c r="F119" s="4"/>
      <c r="G119" s="4" t="s">
        <v>472</v>
      </c>
      <c r="H119" s="4" t="s">
        <v>26</v>
      </c>
      <c r="I119" s="4" t="str">
        <f>"45254"</f>
        <v>45254</v>
      </c>
      <c r="J119" s="4" t="s">
        <v>473</v>
      </c>
      <c r="K119" s="4" t="str">
        <f>"(P) 513-624-7040 (M) 513-624-7040"</f>
        <v>(P) 513-624-7040 (M) 513-624-7040</v>
      </c>
      <c r="L119" s="4" t="s">
        <v>474</v>
      </c>
      <c r="M119" s="4" t="s">
        <v>469</v>
      </c>
      <c r="N119" s="4" t="s">
        <v>471</v>
      </c>
      <c r="O119" s="4"/>
      <c r="P119" s="4" t="s">
        <v>472</v>
      </c>
      <c r="Q119" s="4" t="s">
        <v>26</v>
      </c>
      <c r="R119" s="4" t="str">
        <f>"45254"</f>
        <v>45254</v>
      </c>
      <c r="S119" s="4" t="s">
        <v>473</v>
      </c>
      <c r="T119" s="6">
        <v>44196</v>
      </c>
      <c r="U119" s="4" t="s">
        <v>29</v>
      </c>
    </row>
    <row r="120" spans="1:21" s="3" customFormat="1" ht="28.8" x14ac:dyDescent="0.3">
      <c r="A120" s="4" t="str">
        <f>"CB002DL1"</f>
        <v>CB002DL1</v>
      </c>
      <c r="B120" s="4" t="s">
        <v>1950</v>
      </c>
      <c r="C120" s="4" t="s">
        <v>1951</v>
      </c>
      <c r="D120" s="4" t="s">
        <v>1952</v>
      </c>
      <c r="E120" s="4" t="s">
        <v>1953</v>
      </c>
      <c r="F120" s="4"/>
      <c r="G120" s="4" t="s">
        <v>1954</v>
      </c>
      <c r="H120" s="4" t="s">
        <v>26</v>
      </c>
      <c r="I120" s="4" t="str">
        <f>"44121"</f>
        <v>44121</v>
      </c>
      <c r="J120" s="4" t="s">
        <v>43</v>
      </c>
      <c r="K120" s="4" t="str">
        <f>"(F) 480-393-4352 (M) 216-408-4452"</f>
        <v>(F) 480-393-4352 (M) 216-408-4452</v>
      </c>
      <c r="L120" s="4"/>
      <c r="M120" s="4" t="s">
        <v>1950</v>
      </c>
      <c r="N120" s="4" t="s">
        <v>1953</v>
      </c>
      <c r="O120" s="4"/>
      <c r="P120" s="4" t="s">
        <v>1954</v>
      </c>
      <c r="Q120" s="4" t="s">
        <v>26</v>
      </c>
      <c r="R120" s="4" t="str">
        <f>"44121"</f>
        <v>44121</v>
      </c>
      <c r="S120" s="4" t="s">
        <v>43</v>
      </c>
      <c r="T120" s="6">
        <v>44196</v>
      </c>
      <c r="U120" s="4" t="s">
        <v>29</v>
      </c>
    </row>
    <row r="121" spans="1:21" s="3" customFormat="1" x14ac:dyDescent="0.3">
      <c r="A121" s="4" t="str">
        <f>"CB000D7A"</f>
        <v>CB000D7A</v>
      </c>
      <c r="B121" s="4" t="s">
        <v>475</v>
      </c>
      <c r="C121" s="4" t="s">
        <v>476</v>
      </c>
      <c r="D121" s="4" t="s">
        <v>477</v>
      </c>
      <c r="E121" s="4" t="s">
        <v>478</v>
      </c>
      <c r="F121" s="4" t="s">
        <v>479</v>
      </c>
      <c r="G121" s="4" t="s">
        <v>402</v>
      </c>
      <c r="H121" s="4" t="s">
        <v>26</v>
      </c>
      <c r="I121" s="4" t="str">
        <f>"44136"</f>
        <v>44136</v>
      </c>
      <c r="J121" s="4" t="s">
        <v>43</v>
      </c>
      <c r="K121" s="4" t="str">
        <f>"(M) 216-389-5857"</f>
        <v>(M) 216-389-5857</v>
      </c>
      <c r="L121" s="4"/>
      <c r="M121" s="4" t="s">
        <v>475</v>
      </c>
      <c r="N121" s="4" t="s">
        <v>478</v>
      </c>
      <c r="O121" s="4" t="s">
        <v>479</v>
      </c>
      <c r="P121" s="4" t="s">
        <v>402</v>
      </c>
      <c r="Q121" s="4" t="s">
        <v>26</v>
      </c>
      <c r="R121" s="4" t="str">
        <f>"44136"</f>
        <v>44136</v>
      </c>
      <c r="S121" s="4" t="s">
        <v>43</v>
      </c>
      <c r="T121" s="6">
        <v>44196</v>
      </c>
      <c r="U121" s="4" t="s">
        <v>29</v>
      </c>
    </row>
    <row r="122" spans="1:21" s="3" customFormat="1" ht="28.8" x14ac:dyDescent="0.3">
      <c r="A122" s="4" t="str">
        <f>"CB001GCD"</f>
        <v>CB001GCD</v>
      </c>
      <c r="B122" s="4" t="s">
        <v>1743</v>
      </c>
      <c r="C122" s="4" t="s">
        <v>1321</v>
      </c>
      <c r="D122" s="4" t="s">
        <v>1744</v>
      </c>
      <c r="E122" s="4" t="s">
        <v>1745</v>
      </c>
      <c r="F122" s="4"/>
      <c r="G122" s="4" t="s">
        <v>50</v>
      </c>
      <c r="H122" s="4" t="s">
        <v>26</v>
      </c>
      <c r="I122" s="4" t="str">
        <f>"43081"</f>
        <v>43081</v>
      </c>
      <c r="J122" s="4" t="s">
        <v>210</v>
      </c>
      <c r="K122" s="4" t="str">
        <f>"(P) 614-918-7388"</f>
        <v>(P) 614-918-7388</v>
      </c>
      <c r="L122" s="4" t="s">
        <v>1746</v>
      </c>
      <c r="M122" s="4" t="s">
        <v>1743</v>
      </c>
      <c r="N122" s="4" t="s">
        <v>1745</v>
      </c>
      <c r="O122" s="4"/>
      <c r="P122" s="4" t="s">
        <v>50</v>
      </c>
      <c r="Q122" s="4" t="s">
        <v>26</v>
      </c>
      <c r="R122" s="4" t="str">
        <f>"43081"</f>
        <v>43081</v>
      </c>
      <c r="S122" s="4" t="s">
        <v>210</v>
      </c>
      <c r="T122" s="6">
        <v>44196</v>
      </c>
      <c r="U122" s="4" t="s">
        <v>29</v>
      </c>
    </row>
    <row r="123" spans="1:21" s="3" customFormat="1" ht="28.8" x14ac:dyDescent="0.3">
      <c r="A123" s="4" t="str">
        <f>"CB000D88"</f>
        <v>CB000D88</v>
      </c>
      <c r="B123" s="4" t="s">
        <v>480</v>
      </c>
      <c r="C123" s="4" t="s">
        <v>481</v>
      </c>
      <c r="D123" s="4" t="s">
        <v>482</v>
      </c>
      <c r="E123" s="4" t="s">
        <v>483</v>
      </c>
      <c r="F123" s="4"/>
      <c r="G123" s="4" t="s">
        <v>253</v>
      </c>
      <c r="H123" s="4" t="s">
        <v>26</v>
      </c>
      <c r="I123" s="4" t="str">
        <f>"43212"</f>
        <v>43212</v>
      </c>
      <c r="J123" s="4" t="s">
        <v>210</v>
      </c>
      <c r="K123" s="4" t="str">
        <f>"(P) 614-470-2851 (F) 844-325-0446 (M) 419-632-1099"</f>
        <v>(P) 614-470-2851 (F) 844-325-0446 (M) 419-632-1099</v>
      </c>
      <c r="L123" s="4" t="s">
        <v>484</v>
      </c>
      <c r="M123" s="4" t="s">
        <v>480</v>
      </c>
      <c r="N123" s="4" t="s">
        <v>483</v>
      </c>
      <c r="O123" s="4"/>
      <c r="P123" s="4" t="s">
        <v>253</v>
      </c>
      <c r="Q123" s="4" t="s">
        <v>26</v>
      </c>
      <c r="R123" s="4" t="str">
        <f>"43212"</f>
        <v>43212</v>
      </c>
      <c r="S123" s="4" t="s">
        <v>210</v>
      </c>
      <c r="T123" s="6">
        <v>44196</v>
      </c>
      <c r="U123" s="4" t="s">
        <v>29</v>
      </c>
    </row>
    <row r="124" spans="1:21" s="3" customFormat="1" ht="28.8" x14ac:dyDescent="0.3">
      <c r="A124" s="4" t="str">
        <f>"CB000DA4"</f>
        <v>CB000DA4</v>
      </c>
      <c r="B124" s="4" t="s">
        <v>485</v>
      </c>
      <c r="C124" s="4" t="s">
        <v>146</v>
      </c>
      <c r="D124" s="4" t="s">
        <v>486</v>
      </c>
      <c r="E124" s="4" t="s">
        <v>487</v>
      </c>
      <c r="F124" s="4"/>
      <c r="G124" s="4" t="s">
        <v>488</v>
      </c>
      <c r="H124" s="4" t="s">
        <v>26</v>
      </c>
      <c r="I124" s="4" t="str">
        <f>"43064"</f>
        <v>43064</v>
      </c>
      <c r="J124" s="4" t="s">
        <v>489</v>
      </c>
      <c r="K124" s="4" t="str">
        <f>"(P) 614-873-7239 (F) 614-873-7239 (M) 614-352-3369"</f>
        <v>(P) 614-873-7239 (F) 614-873-7239 (M) 614-352-3369</v>
      </c>
      <c r="L124" s="4" t="s">
        <v>490</v>
      </c>
      <c r="M124" s="4" t="s">
        <v>485</v>
      </c>
      <c r="N124" s="4" t="s">
        <v>487</v>
      </c>
      <c r="O124" s="4"/>
      <c r="P124" s="4" t="s">
        <v>488</v>
      </c>
      <c r="Q124" s="4" t="s">
        <v>26</v>
      </c>
      <c r="R124" s="4" t="str">
        <f>"43064"</f>
        <v>43064</v>
      </c>
      <c r="S124" s="4" t="s">
        <v>489</v>
      </c>
      <c r="T124" s="6">
        <v>44196</v>
      </c>
      <c r="U124" s="4" t="s">
        <v>29</v>
      </c>
    </row>
    <row r="125" spans="1:21" s="3" customFormat="1" x14ac:dyDescent="0.3">
      <c r="A125" s="4" t="str">
        <f>"CB000QM4"</f>
        <v>CB000QM4</v>
      </c>
      <c r="B125" s="4" t="s">
        <v>1353</v>
      </c>
      <c r="C125" s="4" t="s">
        <v>230</v>
      </c>
      <c r="D125" s="4" t="s">
        <v>1354</v>
      </c>
      <c r="E125" s="4" t="s">
        <v>1355</v>
      </c>
      <c r="F125" s="4"/>
      <c r="G125" s="4" t="s">
        <v>322</v>
      </c>
      <c r="H125" s="4" t="s">
        <v>26</v>
      </c>
      <c r="I125" s="4" t="str">
        <f>"45807"</f>
        <v>45807</v>
      </c>
      <c r="J125" s="4" t="s">
        <v>323</v>
      </c>
      <c r="K125" s="4" t="str">
        <f>"(P) 419-204-8295"</f>
        <v>(P) 419-204-8295</v>
      </c>
      <c r="L125" s="4" t="s">
        <v>1356</v>
      </c>
      <c r="M125" s="4" t="s">
        <v>1353</v>
      </c>
      <c r="N125" s="4" t="s">
        <v>1355</v>
      </c>
      <c r="O125" s="4"/>
      <c r="P125" s="4" t="s">
        <v>322</v>
      </c>
      <c r="Q125" s="4" t="s">
        <v>26</v>
      </c>
      <c r="R125" s="4" t="str">
        <f>"45807"</f>
        <v>45807</v>
      </c>
      <c r="S125" s="4" t="s">
        <v>323</v>
      </c>
      <c r="T125" s="6">
        <v>44196</v>
      </c>
      <c r="U125" s="4" t="s">
        <v>29</v>
      </c>
    </row>
    <row r="126" spans="1:21" s="3" customFormat="1" ht="28.8" x14ac:dyDescent="0.3">
      <c r="A126" s="4" t="str">
        <f>"CB000DB2"</f>
        <v>CB000DB2</v>
      </c>
      <c r="B126" s="4" t="s">
        <v>491</v>
      </c>
      <c r="C126" s="4" t="s">
        <v>492</v>
      </c>
      <c r="D126" s="4" t="s">
        <v>493</v>
      </c>
      <c r="E126" s="4" t="s">
        <v>494</v>
      </c>
      <c r="F126" s="4"/>
      <c r="G126" s="4" t="s">
        <v>295</v>
      </c>
      <c r="H126" s="4" t="s">
        <v>26</v>
      </c>
      <c r="I126" s="4" t="str">
        <f>"45106"</f>
        <v>45106</v>
      </c>
      <c r="J126" s="4" t="s">
        <v>302</v>
      </c>
      <c r="K126" s="4" t="str">
        <f>"(P) 937-379-2231 (F) 866-332-1608 (M) 513-444-5431"</f>
        <v>(P) 937-379-2231 (F) 866-332-1608 (M) 513-444-5431</v>
      </c>
      <c r="L126" s="4" t="s">
        <v>495</v>
      </c>
      <c r="M126" s="4" t="s">
        <v>491</v>
      </c>
      <c r="N126" s="4" t="s">
        <v>494</v>
      </c>
      <c r="O126" s="4"/>
      <c r="P126" s="4" t="s">
        <v>295</v>
      </c>
      <c r="Q126" s="4" t="s">
        <v>26</v>
      </c>
      <c r="R126" s="4" t="str">
        <f>"45106"</f>
        <v>45106</v>
      </c>
      <c r="S126" s="4" t="s">
        <v>302</v>
      </c>
      <c r="T126" s="6">
        <v>44196</v>
      </c>
      <c r="U126" s="4" t="s">
        <v>29</v>
      </c>
    </row>
    <row r="127" spans="1:21" s="3" customFormat="1" ht="28.8" x14ac:dyDescent="0.3">
      <c r="A127" s="4" t="str">
        <f>"CB000LNJ"</f>
        <v>CB000LNJ</v>
      </c>
      <c r="B127" s="4" t="s">
        <v>1160</v>
      </c>
      <c r="C127" s="4" t="s">
        <v>1161</v>
      </c>
      <c r="D127" s="4" t="s">
        <v>1162</v>
      </c>
      <c r="E127" s="4" t="s">
        <v>1163</v>
      </c>
      <c r="F127" s="4"/>
      <c r="G127" s="4" t="s">
        <v>1164</v>
      </c>
      <c r="H127" s="4" t="s">
        <v>26</v>
      </c>
      <c r="I127" s="4" t="str">
        <f>"44001"</f>
        <v>44001</v>
      </c>
      <c r="J127" s="4" t="s">
        <v>377</v>
      </c>
      <c r="K127" s="4" t="str">
        <f>"(P) 440-984-7014 (M) 440-452-1619"</f>
        <v>(P) 440-984-7014 (M) 440-452-1619</v>
      </c>
      <c r="L127" s="4" t="s">
        <v>1165</v>
      </c>
      <c r="M127" s="4" t="s">
        <v>1160</v>
      </c>
      <c r="N127" s="4" t="s">
        <v>1163</v>
      </c>
      <c r="O127" s="4"/>
      <c r="P127" s="4" t="s">
        <v>1164</v>
      </c>
      <c r="Q127" s="4" t="s">
        <v>26</v>
      </c>
      <c r="R127" s="4" t="str">
        <f>"44001"</f>
        <v>44001</v>
      </c>
      <c r="S127" s="4" t="s">
        <v>377</v>
      </c>
      <c r="T127" s="6">
        <v>44196</v>
      </c>
      <c r="U127" s="4" t="s">
        <v>29</v>
      </c>
    </row>
    <row r="128" spans="1:21" s="3" customFormat="1" ht="28.8" x14ac:dyDescent="0.3">
      <c r="A128" s="4" t="str">
        <f>"CB000LPG"</f>
        <v>CB000LPG</v>
      </c>
      <c r="B128" s="4" t="s">
        <v>1166</v>
      </c>
      <c r="C128" s="4" t="s">
        <v>1167</v>
      </c>
      <c r="D128" s="4" t="s">
        <v>1168</v>
      </c>
      <c r="E128" s="4" t="s">
        <v>1169</v>
      </c>
      <c r="F128" s="4"/>
      <c r="G128" s="4" t="s">
        <v>1170</v>
      </c>
      <c r="H128" s="4" t="s">
        <v>26</v>
      </c>
      <c r="I128" s="4" t="str">
        <f>"44286"</f>
        <v>44286</v>
      </c>
      <c r="J128" s="4" t="s">
        <v>217</v>
      </c>
      <c r="K128" s="4" t="str">
        <f>"(P) 330-310-1322 (F) 330-659-4663"</f>
        <v>(P) 330-310-1322 (F) 330-659-4663</v>
      </c>
      <c r="L128" s="4" t="s">
        <v>1171</v>
      </c>
      <c r="M128" s="4" t="s">
        <v>1166</v>
      </c>
      <c r="N128" s="4" t="s">
        <v>1172</v>
      </c>
      <c r="O128" s="4"/>
      <c r="P128" s="4" t="s">
        <v>1173</v>
      </c>
      <c r="Q128" s="4" t="s">
        <v>26</v>
      </c>
      <c r="R128" s="4" t="str">
        <f>"44321"</f>
        <v>44321</v>
      </c>
      <c r="S128" s="4" t="s">
        <v>217</v>
      </c>
      <c r="T128" s="6">
        <v>44196</v>
      </c>
      <c r="U128" s="4" t="s">
        <v>29</v>
      </c>
    </row>
    <row r="129" spans="1:21" s="3" customFormat="1" x14ac:dyDescent="0.3">
      <c r="A129" s="4" t="str">
        <f>"CB000LSA"</f>
        <v>CB000LSA</v>
      </c>
      <c r="B129" s="4" t="s">
        <v>1174</v>
      </c>
      <c r="C129" s="4" t="s">
        <v>1175</v>
      </c>
      <c r="D129" s="4" t="s">
        <v>1176</v>
      </c>
      <c r="E129" s="4" t="s">
        <v>1177</v>
      </c>
      <c r="F129" s="4"/>
      <c r="G129" s="4" t="s">
        <v>1178</v>
      </c>
      <c r="H129" s="4" t="s">
        <v>26</v>
      </c>
      <c r="I129" s="4" t="str">
        <f>"45241"</f>
        <v>45241</v>
      </c>
      <c r="J129" s="4" t="s">
        <v>473</v>
      </c>
      <c r="K129" s="4" t="str">
        <f>"(M) 859-801-7287"</f>
        <v>(M) 859-801-7287</v>
      </c>
      <c r="L129" s="4" t="s">
        <v>1179</v>
      </c>
      <c r="M129" s="4" t="s">
        <v>1174</v>
      </c>
      <c r="N129" s="4" t="s">
        <v>1180</v>
      </c>
      <c r="O129" s="4"/>
      <c r="P129" s="4" t="s">
        <v>1178</v>
      </c>
      <c r="Q129" s="4" t="s">
        <v>26</v>
      </c>
      <c r="R129" s="4" t="str">
        <f>"45241"</f>
        <v>45241</v>
      </c>
      <c r="S129" s="4" t="s">
        <v>473</v>
      </c>
      <c r="T129" s="6">
        <v>44196</v>
      </c>
      <c r="U129" s="4" t="s">
        <v>29</v>
      </c>
    </row>
    <row r="130" spans="1:21" s="3" customFormat="1" x14ac:dyDescent="0.3">
      <c r="A130" s="4" t="str">
        <f>"CB000LT8"</f>
        <v>CB000LT8</v>
      </c>
      <c r="B130" s="4" t="s">
        <v>1181</v>
      </c>
      <c r="C130" s="4" t="s">
        <v>1182</v>
      </c>
      <c r="D130" s="4" t="s">
        <v>1183</v>
      </c>
      <c r="E130" s="4" t="s">
        <v>1184</v>
      </c>
      <c r="F130" s="4"/>
      <c r="G130" s="4" t="s">
        <v>1185</v>
      </c>
      <c r="H130" s="4" t="s">
        <v>26</v>
      </c>
      <c r="I130" s="4" t="str">
        <f>"44026"</f>
        <v>44026</v>
      </c>
      <c r="J130" s="4" t="s">
        <v>71</v>
      </c>
      <c r="K130" s="4" t="str">
        <f>"(M) 216-789-7127"</f>
        <v>(M) 216-789-7127</v>
      </c>
      <c r="L130" s="4" t="s">
        <v>1186</v>
      </c>
      <c r="M130" s="4" t="s">
        <v>1181</v>
      </c>
      <c r="N130" s="4" t="s">
        <v>1184</v>
      </c>
      <c r="O130" s="4"/>
      <c r="P130" s="4" t="s">
        <v>1185</v>
      </c>
      <c r="Q130" s="4" t="s">
        <v>26</v>
      </c>
      <c r="R130" s="4" t="str">
        <f>"44092"</f>
        <v>44092</v>
      </c>
      <c r="S130" s="4" t="s">
        <v>71</v>
      </c>
      <c r="T130" s="6">
        <v>44196</v>
      </c>
      <c r="U130" s="4" t="s">
        <v>29</v>
      </c>
    </row>
    <row r="131" spans="1:21" s="3" customFormat="1" ht="28.8" x14ac:dyDescent="0.3">
      <c r="A131" s="4" t="str">
        <f>"CB000LU6"</f>
        <v>CB000LU6</v>
      </c>
      <c r="B131" s="4" t="s">
        <v>1187</v>
      </c>
      <c r="C131" s="4" t="s">
        <v>1188</v>
      </c>
      <c r="D131" s="4" t="s">
        <v>1189</v>
      </c>
      <c r="E131" s="4" t="s">
        <v>1190</v>
      </c>
      <c r="F131" s="4"/>
      <c r="G131" s="4" t="s">
        <v>233</v>
      </c>
      <c r="H131" s="4" t="s">
        <v>26</v>
      </c>
      <c r="I131" s="4" t="str">
        <f>"45651"</f>
        <v>45651</v>
      </c>
      <c r="J131" s="4" t="s">
        <v>234</v>
      </c>
      <c r="K131" s="4" t="str">
        <f>"(M) 740-591-1994"</f>
        <v>(M) 740-591-1994</v>
      </c>
      <c r="L131" s="4" t="s">
        <v>1191</v>
      </c>
      <c r="M131" s="4" t="s">
        <v>1187</v>
      </c>
      <c r="N131" s="4" t="s">
        <v>1190</v>
      </c>
      <c r="O131" s="4"/>
      <c r="P131" s="4" t="s">
        <v>233</v>
      </c>
      <c r="Q131" s="4" t="s">
        <v>26</v>
      </c>
      <c r="R131" s="4" t="str">
        <f>"45651"</f>
        <v>45651</v>
      </c>
      <c r="S131" s="4" t="s">
        <v>234</v>
      </c>
      <c r="T131" s="6">
        <v>44196</v>
      </c>
      <c r="U131" s="4" t="s">
        <v>29</v>
      </c>
    </row>
    <row r="132" spans="1:21" s="3" customFormat="1" ht="28.8" x14ac:dyDescent="0.3">
      <c r="A132" s="4" t="str">
        <f>"CB001EAR"</f>
        <v>CB001EAR</v>
      </c>
      <c r="B132" s="4" t="s">
        <v>1683</v>
      </c>
      <c r="C132" s="4" t="s">
        <v>1684</v>
      </c>
      <c r="D132" s="4" t="s">
        <v>1685</v>
      </c>
      <c r="E132" s="4" t="s">
        <v>1686</v>
      </c>
      <c r="F132" s="4"/>
      <c r="G132" s="4" t="s">
        <v>530</v>
      </c>
      <c r="H132" s="4" t="s">
        <v>26</v>
      </c>
      <c r="I132" s="4" t="str">
        <f>"45103"</f>
        <v>45103</v>
      </c>
      <c r="J132" s="4" t="s">
        <v>150</v>
      </c>
      <c r="K132" s="4" t="str">
        <f>"(P) 513-519-9228 (M) 513-309-5772"</f>
        <v>(P) 513-519-9228 (M) 513-309-5772</v>
      </c>
      <c r="L132" s="4" t="s">
        <v>1687</v>
      </c>
      <c r="M132" s="4" t="s">
        <v>1683</v>
      </c>
      <c r="N132" s="4" t="s">
        <v>1686</v>
      </c>
      <c r="O132" s="4"/>
      <c r="P132" s="4" t="s">
        <v>530</v>
      </c>
      <c r="Q132" s="4" t="s">
        <v>26</v>
      </c>
      <c r="R132" s="4" t="str">
        <f>"45103"</f>
        <v>45103</v>
      </c>
      <c r="S132" s="4" t="s">
        <v>150</v>
      </c>
      <c r="T132" s="6">
        <v>44196</v>
      </c>
      <c r="U132" s="4" t="s">
        <v>29</v>
      </c>
    </row>
    <row r="133" spans="1:21" s="3" customFormat="1" ht="28.8" x14ac:dyDescent="0.3">
      <c r="A133" s="4" t="str">
        <f>"CB001AB6"</f>
        <v>CB001AB6</v>
      </c>
      <c r="B133" s="4" t="s">
        <v>1614</v>
      </c>
      <c r="C133" s="4" t="s">
        <v>1615</v>
      </c>
      <c r="D133" s="4" t="s">
        <v>1616</v>
      </c>
      <c r="E133" s="4" t="s">
        <v>1617</v>
      </c>
      <c r="F133" s="4"/>
      <c r="G133" s="4" t="s">
        <v>1207</v>
      </c>
      <c r="H133" s="4" t="s">
        <v>26</v>
      </c>
      <c r="I133" s="4" t="str">
        <f>"45385"</f>
        <v>45385</v>
      </c>
      <c r="J133" s="4" t="s">
        <v>681</v>
      </c>
      <c r="K133" s="4" t="str">
        <f>"(P) 937-736-2055 (F) 937-736-2055 (M) 513-668-0088"</f>
        <v>(P) 937-736-2055 (F) 937-736-2055 (M) 513-668-0088</v>
      </c>
      <c r="L133" s="4" t="s">
        <v>1618</v>
      </c>
      <c r="M133" s="4" t="s">
        <v>1614</v>
      </c>
      <c r="N133" s="4" t="s">
        <v>1617</v>
      </c>
      <c r="O133" s="4"/>
      <c r="P133" s="4" t="s">
        <v>1207</v>
      </c>
      <c r="Q133" s="4" t="s">
        <v>26</v>
      </c>
      <c r="R133" s="4" t="str">
        <f>"45385"</f>
        <v>45385</v>
      </c>
      <c r="S133" s="4" t="s">
        <v>681</v>
      </c>
      <c r="T133" s="6">
        <v>44196</v>
      </c>
      <c r="U133" s="4" t="s">
        <v>29</v>
      </c>
    </row>
    <row r="134" spans="1:21" s="3" customFormat="1" ht="28.8" x14ac:dyDescent="0.3">
      <c r="A134" s="4" t="str">
        <f>"CB000LV4"</f>
        <v>CB000LV4</v>
      </c>
      <c r="B134" s="4" t="s">
        <v>1192</v>
      </c>
      <c r="C134" s="4" t="s">
        <v>440</v>
      </c>
      <c r="D134" s="4" t="s">
        <v>1193</v>
      </c>
      <c r="E134" s="4" t="s">
        <v>1194</v>
      </c>
      <c r="F134" s="4"/>
      <c r="G134" s="4" t="s">
        <v>1195</v>
      </c>
      <c r="H134" s="4" t="s">
        <v>26</v>
      </c>
      <c r="I134" s="4" t="str">
        <f>"43532"</f>
        <v>43532</v>
      </c>
      <c r="J134" s="4" t="s">
        <v>1196</v>
      </c>
      <c r="K134" s="4" t="str">
        <f>"(P) 419-591-6621 (M) 419-591-6621"</f>
        <v>(P) 419-591-6621 (M) 419-591-6621</v>
      </c>
      <c r="L134" s="4" t="s">
        <v>1197</v>
      </c>
      <c r="M134" s="4" t="s">
        <v>1192</v>
      </c>
      <c r="N134" s="4" t="s">
        <v>1198</v>
      </c>
      <c r="O134" s="4"/>
      <c r="P134" s="4" t="s">
        <v>1195</v>
      </c>
      <c r="Q134" s="4" t="s">
        <v>26</v>
      </c>
      <c r="R134" s="4" t="str">
        <f>"43532"</f>
        <v>43532</v>
      </c>
      <c r="S134" s="4" t="s">
        <v>130</v>
      </c>
      <c r="T134" s="6">
        <v>44196</v>
      </c>
      <c r="U134" s="4" t="s">
        <v>29</v>
      </c>
    </row>
    <row r="135" spans="1:21" s="3" customFormat="1" ht="28.8" x14ac:dyDescent="0.3">
      <c r="A135" s="4" t="str">
        <f>"CB000LXZ"</f>
        <v>CB000LXZ</v>
      </c>
      <c r="B135" s="4" t="s">
        <v>1199</v>
      </c>
      <c r="C135" s="4" t="s">
        <v>1200</v>
      </c>
      <c r="D135" s="4" t="s">
        <v>620</v>
      </c>
      <c r="E135" s="4" t="s">
        <v>1201</v>
      </c>
      <c r="F135" s="4"/>
      <c r="G135" s="4" t="s">
        <v>1202</v>
      </c>
      <c r="H135" s="4" t="s">
        <v>26</v>
      </c>
      <c r="I135" s="4" t="str">
        <f>"43072"</f>
        <v>43072</v>
      </c>
      <c r="J135" s="4" t="s">
        <v>172</v>
      </c>
      <c r="K135" s="4" t="str">
        <f>"(P) 937-663-0015 (M) 937-631-4883"</f>
        <v>(P) 937-663-0015 (M) 937-631-4883</v>
      </c>
      <c r="L135" s="4" t="s">
        <v>1203</v>
      </c>
      <c r="M135" s="4" t="s">
        <v>1199</v>
      </c>
      <c r="N135" s="4" t="s">
        <v>1201</v>
      </c>
      <c r="O135" s="4"/>
      <c r="P135" s="4" t="s">
        <v>1202</v>
      </c>
      <c r="Q135" s="4" t="s">
        <v>26</v>
      </c>
      <c r="R135" s="4" t="str">
        <f>"43072"</f>
        <v>43072</v>
      </c>
      <c r="S135" s="4" t="s">
        <v>172</v>
      </c>
      <c r="T135" s="6">
        <v>44196</v>
      </c>
      <c r="U135" s="4" t="s">
        <v>29</v>
      </c>
    </row>
    <row r="136" spans="1:21" s="3" customFormat="1" ht="28.8" x14ac:dyDescent="0.3">
      <c r="A136" s="4" t="str">
        <f>"CB000LYX"</f>
        <v>CB000LYX</v>
      </c>
      <c r="B136" s="4" t="s">
        <v>1204</v>
      </c>
      <c r="C136" s="4" t="s">
        <v>665</v>
      </c>
      <c r="D136" s="4" t="s">
        <v>1205</v>
      </c>
      <c r="E136" s="4" t="s">
        <v>1206</v>
      </c>
      <c r="F136" s="4"/>
      <c r="G136" s="4" t="s">
        <v>1207</v>
      </c>
      <c r="H136" s="4" t="s">
        <v>26</v>
      </c>
      <c r="I136" s="4" t="str">
        <f>"45385"</f>
        <v>45385</v>
      </c>
      <c r="J136" s="4" t="s">
        <v>681</v>
      </c>
      <c r="K136" s="4" t="str">
        <f>"(P) 937-376-2700 (M) 937-673-1256"</f>
        <v>(P) 937-376-2700 (M) 937-673-1256</v>
      </c>
      <c r="L136" s="4" t="s">
        <v>1208</v>
      </c>
      <c r="M136" s="4" t="s">
        <v>1204</v>
      </c>
      <c r="N136" s="4" t="s">
        <v>1206</v>
      </c>
      <c r="O136" s="4"/>
      <c r="P136" s="4" t="s">
        <v>1207</v>
      </c>
      <c r="Q136" s="4" t="s">
        <v>26</v>
      </c>
      <c r="R136" s="4" t="str">
        <f>"45385"</f>
        <v>45385</v>
      </c>
      <c r="S136" s="4" t="s">
        <v>681</v>
      </c>
      <c r="T136" s="6">
        <v>44196</v>
      </c>
      <c r="U136" s="4" t="s">
        <v>29</v>
      </c>
    </row>
    <row r="137" spans="1:21" s="3" customFormat="1" x14ac:dyDescent="0.3">
      <c r="A137" s="4" t="str">
        <f>"CB000LZV"</f>
        <v>CB000LZV</v>
      </c>
      <c r="B137" s="4" t="s">
        <v>1209</v>
      </c>
      <c r="C137" s="4" t="s">
        <v>354</v>
      </c>
      <c r="D137" s="4" t="s">
        <v>1210</v>
      </c>
      <c r="E137" s="4" t="s">
        <v>1211</v>
      </c>
      <c r="F137" s="4"/>
      <c r="G137" s="4" t="s">
        <v>1212</v>
      </c>
      <c r="H137" s="4" t="s">
        <v>26</v>
      </c>
      <c r="I137" s="4" t="str">
        <f>"44654"</f>
        <v>44654</v>
      </c>
      <c r="J137" s="4" t="s">
        <v>1213</v>
      </c>
      <c r="K137" s="4" t="str">
        <f>"(P) 330-377-4026"</f>
        <v>(P) 330-377-4026</v>
      </c>
      <c r="L137" s="4" t="s">
        <v>1214</v>
      </c>
      <c r="M137" s="4" t="s">
        <v>1209</v>
      </c>
      <c r="N137" s="4" t="s">
        <v>1215</v>
      </c>
      <c r="O137" s="4"/>
      <c r="P137" s="4" t="s">
        <v>1216</v>
      </c>
      <c r="Q137" s="4" t="s">
        <v>26</v>
      </c>
      <c r="R137" s="4" t="str">
        <f>"44628"</f>
        <v>44628</v>
      </c>
      <c r="S137" s="4" t="s">
        <v>1213</v>
      </c>
      <c r="T137" s="6">
        <v>44196</v>
      </c>
      <c r="U137" s="4" t="s">
        <v>29</v>
      </c>
    </row>
    <row r="138" spans="1:21" s="3" customFormat="1" x14ac:dyDescent="0.3">
      <c r="A138" s="4" t="str">
        <f>"CB002A76"</f>
        <v>CB002A76</v>
      </c>
      <c r="B138" s="4" t="s">
        <v>1883</v>
      </c>
      <c r="C138" s="4" t="s">
        <v>1884</v>
      </c>
      <c r="D138" s="4" t="s">
        <v>1885</v>
      </c>
      <c r="E138" s="4" t="s">
        <v>1886</v>
      </c>
      <c r="F138" s="4"/>
      <c r="G138" s="4" t="s">
        <v>1887</v>
      </c>
      <c r="H138" s="4" t="s">
        <v>26</v>
      </c>
      <c r="I138" s="4" t="str">
        <f>"43311"</f>
        <v>43311</v>
      </c>
      <c r="J138" s="4" t="s">
        <v>1693</v>
      </c>
      <c r="K138" s="4" t="str">
        <f>"(P) 937-441-4112"</f>
        <v>(P) 937-441-4112</v>
      </c>
      <c r="L138" s="4" t="s">
        <v>1888</v>
      </c>
      <c r="M138" s="4" t="s">
        <v>1883</v>
      </c>
      <c r="N138" s="4" t="s">
        <v>1886</v>
      </c>
      <c r="O138" s="4"/>
      <c r="P138" s="4" t="s">
        <v>1887</v>
      </c>
      <c r="Q138" s="4" t="s">
        <v>26</v>
      </c>
      <c r="R138" s="4" t="str">
        <f>"43311"</f>
        <v>43311</v>
      </c>
      <c r="S138" s="4" t="s">
        <v>1693</v>
      </c>
      <c r="T138" s="6">
        <v>44196</v>
      </c>
      <c r="U138" s="4" t="s">
        <v>29</v>
      </c>
    </row>
    <row r="139" spans="1:21" s="3" customFormat="1" x14ac:dyDescent="0.3">
      <c r="A139" s="4" t="str">
        <f>"CB000M0P"</f>
        <v>CB000M0P</v>
      </c>
      <c r="B139" s="4" t="s">
        <v>1217</v>
      </c>
      <c r="C139" s="4" t="s">
        <v>1218</v>
      </c>
      <c r="D139" s="4" t="s">
        <v>1219</v>
      </c>
      <c r="E139" s="4" t="s">
        <v>1220</v>
      </c>
      <c r="F139" s="4"/>
      <c r="G139" s="4" t="s">
        <v>25</v>
      </c>
      <c r="H139" s="4" t="s">
        <v>26</v>
      </c>
      <c r="I139" s="4" t="str">
        <f>"45133"</f>
        <v>45133</v>
      </c>
      <c r="J139" s="4" t="s">
        <v>27</v>
      </c>
      <c r="K139" s="4" t="str">
        <f>"(P) 513-218-6817"</f>
        <v>(P) 513-218-6817</v>
      </c>
      <c r="L139" s="4" t="s">
        <v>1221</v>
      </c>
      <c r="M139" s="4" t="s">
        <v>1217</v>
      </c>
      <c r="N139" s="4" t="s">
        <v>1220</v>
      </c>
      <c r="O139" s="4"/>
      <c r="P139" s="4" t="s">
        <v>25</v>
      </c>
      <c r="Q139" s="4" t="s">
        <v>26</v>
      </c>
      <c r="R139" s="4" t="str">
        <f>"45133"</f>
        <v>45133</v>
      </c>
      <c r="S139" s="4" t="s">
        <v>27</v>
      </c>
      <c r="T139" s="6">
        <v>44196</v>
      </c>
      <c r="U139" s="4" t="s">
        <v>29</v>
      </c>
    </row>
    <row r="140" spans="1:21" s="3" customFormat="1" ht="28.8" x14ac:dyDescent="0.3">
      <c r="A140" s="4" t="str">
        <f>"CB000M1M"</f>
        <v>CB000M1M</v>
      </c>
      <c r="B140" s="4" t="s">
        <v>1222</v>
      </c>
      <c r="C140" s="4" t="s">
        <v>1223</v>
      </c>
      <c r="D140" s="4" t="s">
        <v>1224</v>
      </c>
      <c r="E140" s="4" t="s">
        <v>1225</v>
      </c>
      <c r="F140" s="4"/>
      <c r="G140" s="4" t="s">
        <v>1226</v>
      </c>
      <c r="H140" s="4" t="s">
        <v>26</v>
      </c>
      <c r="I140" s="4" t="str">
        <f>"45660"</f>
        <v>45660</v>
      </c>
      <c r="J140" s="4" t="s">
        <v>1227</v>
      </c>
      <c r="K140" s="4" t="str">
        <f>"(M) 937-205-9933"</f>
        <v>(M) 937-205-9933</v>
      </c>
      <c r="L140" s="4" t="s">
        <v>1228</v>
      </c>
      <c r="M140" s="4" t="s">
        <v>1222</v>
      </c>
      <c r="N140" s="4" t="s">
        <v>1229</v>
      </c>
      <c r="O140" s="4"/>
      <c r="P140" s="4" t="s">
        <v>1226</v>
      </c>
      <c r="Q140" s="4" t="s">
        <v>26</v>
      </c>
      <c r="R140" s="4" t="str">
        <f>"45660"</f>
        <v>45660</v>
      </c>
      <c r="S140" s="4" t="s">
        <v>1227</v>
      </c>
      <c r="T140" s="6">
        <v>44196</v>
      </c>
      <c r="U140" s="4" t="s">
        <v>29</v>
      </c>
    </row>
    <row r="141" spans="1:21" s="3" customFormat="1" x14ac:dyDescent="0.3">
      <c r="A141" s="4" t="str">
        <f>"CB000M2K"</f>
        <v>CB000M2K</v>
      </c>
      <c r="B141" s="4" t="s">
        <v>1230</v>
      </c>
      <c r="C141" s="4" t="s">
        <v>544</v>
      </c>
      <c r="D141" s="4" t="s">
        <v>1231</v>
      </c>
      <c r="E141" s="4" t="s">
        <v>1232</v>
      </c>
      <c r="F141" s="4"/>
      <c r="G141" s="4" t="s">
        <v>1233</v>
      </c>
      <c r="H141" s="4" t="s">
        <v>26</v>
      </c>
      <c r="I141" s="4" t="str">
        <f>"43811"</f>
        <v>43811</v>
      </c>
      <c r="J141" s="4" t="s">
        <v>1234</v>
      </c>
      <c r="K141" s="4" t="str">
        <f>"(P) 740-502-5848"</f>
        <v>(P) 740-502-5848</v>
      </c>
      <c r="L141" s="4" t="s">
        <v>1235</v>
      </c>
      <c r="M141" s="4" t="s">
        <v>1230</v>
      </c>
      <c r="N141" s="4" t="s">
        <v>1232</v>
      </c>
      <c r="O141" s="4"/>
      <c r="P141" s="4" t="s">
        <v>1233</v>
      </c>
      <c r="Q141" s="4" t="s">
        <v>26</v>
      </c>
      <c r="R141" s="4" t="str">
        <f>"43811"</f>
        <v>43811</v>
      </c>
      <c r="S141" s="4" t="s">
        <v>1234</v>
      </c>
      <c r="T141" s="6">
        <v>44196</v>
      </c>
      <c r="U141" s="4" t="s">
        <v>29</v>
      </c>
    </row>
    <row r="142" spans="1:21" s="3" customFormat="1" x14ac:dyDescent="0.3">
      <c r="A142" s="4" t="str">
        <f>"CB000M3H"</f>
        <v>CB000M3H</v>
      </c>
      <c r="B142" s="4" t="s">
        <v>1236</v>
      </c>
      <c r="C142" s="4" t="s">
        <v>440</v>
      </c>
      <c r="D142" s="4" t="s">
        <v>1237</v>
      </c>
      <c r="E142" s="4" t="s">
        <v>1238</v>
      </c>
      <c r="F142" s="4"/>
      <c r="G142" s="4" t="s">
        <v>1239</v>
      </c>
      <c r="H142" s="4" t="s">
        <v>26</v>
      </c>
      <c r="I142" s="4" t="str">
        <f>"43040"</f>
        <v>43040</v>
      </c>
      <c r="J142" s="4" t="s">
        <v>489</v>
      </c>
      <c r="K142" s="4" t="str">
        <f>"(P) 614-266-3267"</f>
        <v>(P) 614-266-3267</v>
      </c>
      <c r="L142" s="4" t="s">
        <v>1240</v>
      </c>
      <c r="M142" s="4" t="s">
        <v>1236</v>
      </c>
      <c r="N142" s="4" t="s">
        <v>1241</v>
      </c>
      <c r="O142" s="4"/>
      <c r="P142" s="4" t="s">
        <v>1239</v>
      </c>
      <c r="Q142" s="4" t="s">
        <v>26</v>
      </c>
      <c r="R142" s="4" t="str">
        <f>"43040"</f>
        <v>43040</v>
      </c>
      <c r="S142" s="4" t="s">
        <v>489</v>
      </c>
      <c r="T142" s="6">
        <v>44196</v>
      </c>
      <c r="U142" s="4" t="s">
        <v>29</v>
      </c>
    </row>
    <row r="143" spans="1:21" s="3" customFormat="1" ht="28.8" x14ac:dyDescent="0.3">
      <c r="A143" s="4" t="str">
        <f>"CB000M5D"</f>
        <v>CB000M5D</v>
      </c>
      <c r="B143" s="4" t="s">
        <v>1242</v>
      </c>
      <c r="C143" s="4" t="s">
        <v>367</v>
      </c>
      <c r="D143" s="4" t="s">
        <v>1243</v>
      </c>
      <c r="E143" s="4" t="s">
        <v>1244</v>
      </c>
      <c r="F143" s="4"/>
      <c r="G143" s="4" t="s">
        <v>684</v>
      </c>
      <c r="H143" s="4" t="s">
        <v>26</v>
      </c>
      <c r="I143" s="4" t="str">
        <f>"45503"</f>
        <v>45503</v>
      </c>
      <c r="J143" s="4" t="s">
        <v>567</v>
      </c>
      <c r="K143" s="4" t="str">
        <f>"(P) 937-935-8511 (M) 937-201-8439"</f>
        <v>(P) 937-935-8511 (M) 937-201-8439</v>
      </c>
      <c r="L143" s="4" t="s">
        <v>1245</v>
      </c>
      <c r="M143" s="4" t="s">
        <v>1242</v>
      </c>
      <c r="N143" s="4" t="s">
        <v>1244</v>
      </c>
      <c r="O143" s="4"/>
      <c r="P143" s="4" t="s">
        <v>684</v>
      </c>
      <c r="Q143" s="4" t="s">
        <v>26</v>
      </c>
      <c r="R143" s="4" t="str">
        <f>"45503"</f>
        <v>45503</v>
      </c>
      <c r="S143" s="4" t="s">
        <v>567</v>
      </c>
      <c r="T143" s="6">
        <v>44196</v>
      </c>
      <c r="U143" s="4" t="s">
        <v>29</v>
      </c>
    </row>
    <row r="144" spans="1:21" s="3" customFormat="1" ht="28.8" x14ac:dyDescent="0.3">
      <c r="A144" s="4" t="str">
        <f>"CB000M6B"</f>
        <v>CB000M6B</v>
      </c>
      <c r="B144" s="4" t="s">
        <v>1246</v>
      </c>
      <c r="C144" s="4" t="s">
        <v>298</v>
      </c>
      <c r="D144" s="4" t="s">
        <v>1116</v>
      </c>
      <c r="E144" s="4" t="s">
        <v>1247</v>
      </c>
      <c r="F144" s="4"/>
      <c r="G144" s="4" t="s">
        <v>1118</v>
      </c>
      <c r="H144" s="4" t="s">
        <v>26</v>
      </c>
      <c r="I144" s="4" t="str">
        <f>"43701"</f>
        <v>43701</v>
      </c>
      <c r="J144" s="4" t="s">
        <v>1012</v>
      </c>
      <c r="K144" s="4" t="str">
        <f>"(P) 740-586-8934 (F) 740-450-2343"</f>
        <v>(P) 740-586-8934 (F) 740-450-2343</v>
      </c>
      <c r="L144" s="4" t="s">
        <v>1248</v>
      </c>
      <c r="M144" s="4" t="s">
        <v>1246</v>
      </c>
      <c r="N144" s="4" t="s">
        <v>1247</v>
      </c>
      <c r="O144" s="4"/>
      <c r="P144" s="4" t="s">
        <v>1118</v>
      </c>
      <c r="Q144" s="4" t="s">
        <v>26</v>
      </c>
      <c r="R144" s="4" t="str">
        <f>"43701"</f>
        <v>43701</v>
      </c>
      <c r="S144" s="4" t="s">
        <v>1012</v>
      </c>
      <c r="T144" s="6">
        <v>44196</v>
      </c>
      <c r="U144" s="4" t="s">
        <v>29</v>
      </c>
    </row>
    <row r="145" spans="1:21" s="3" customFormat="1" ht="28.8" x14ac:dyDescent="0.3">
      <c r="A145" s="4" t="str">
        <f>"CB002BWQ"</f>
        <v>CB002BWQ</v>
      </c>
      <c r="B145" s="4" t="s">
        <v>1936</v>
      </c>
      <c r="C145" s="4" t="s">
        <v>1937</v>
      </c>
      <c r="D145" s="4" t="s">
        <v>1938</v>
      </c>
      <c r="E145" s="4" t="s">
        <v>1939</v>
      </c>
      <c r="F145" s="4"/>
      <c r="G145" s="4" t="s">
        <v>309</v>
      </c>
      <c r="H145" s="4" t="s">
        <v>26</v>
      </c>
      <c r="I145" s="4" t="str">
        <f>"45036"</f>
        <v>45036</v>
      </c>
      <c r="J145" s="4" t="s">
        <v>310</v>
      </c>
      <c r="K145" s="4" t="str">
        <f>"(P) 513-695-1353 (M) 937-580-5437"</f>
        <v>(P) 513-695-1353 (M) 937-580-5437</v>
      </c>
      <c r="L145" s="4" t="s">
        <v>1940</v>
      </c>
      <c r="M145" s="4" t="s">
        <v>1936</v>
      </c>
      <c r="N145" s="4" t="s">
        <v>1939</v>
      </c>
      <c r="O145" s="4"/>
      <c r="P145" s="4" t="s">
        <v>309</v>
      </c>
      <c r="Q145" s="4" t="s">
        <v>26</v>
      </c>
      <c r="R145" s="4" t="str">
        <f>"45036"</f>
        <v>45036</v>
      </c>
      <c r="S145" s="4" t="s">
        <v>310</v>
      </c>
      <c r="T145" s="6">
        <v>44196</v>
      </c>
      <c r="U145" s="4" t="s">
        <v>29</v>
      </c>
    </row>
    <row r="146" spans="1:21" s="3" customFormat="1" x14ac:dyDescent="0.3">
      <c r="A146" s="4" t="str">
        <f>"CB0013JL"</f>
        <v>CB0013JL</v>
      </c>
      <c r="B146" s="4" t="s">
        <v>1478</v>
      </c>
      <c r="C146" s="4" t="s">
        <v>1479</v>
      </c>
      <c r="D146" s="4" t="s">
        <v>1480</v>
      </c>
      <c r="E146" s="4" t="s">
        <v>1481</v>
      </c>
      <c r="F146" s="4"/>
      <c r="G146" s="4" t="s">
        <v>889</v>
      </c>
      <c r="H146" s="4" t="s">
        <v>26</v>
      </c>
      <c r="I146" s="4" t="str">
        <f>"43452"</f>
        <v>43452</v>
      </c>
      <c r="J146" s="4" t="s">
        <v>890</v>
      </c>
      <c r="K146" s="4" t="str">
        <f>"(P) 419-734-5191"</f>
        <v>(P) 419-734-5191</v>
      </c>
      <c r="L146" s="4" t="s">
        <v>1482</v>
      </c>
      <c r="M146" s="4" t="s">
        <v>1478</v>
      </c>
      <c r="N146" s="4" t="s">
        <v>1481</v>
      </c>
      <c r="O146" s="4"/>
      <c r="P146" s="4" t="s">
        <v>889</v>
      </c>
      <c r="Q146" s="4" t="s">
        <v>26</v>
      </c>
      <c r="R146" s="4" t="str">
        <f>"43452"</f>
        <v>43452</v>
      </c>
      <c r="S146" s="4" t="s">
        <v>890</v>
      </c>
      <c r="T146" s="6">
        <v>44196</v>
      </c>
      <c r="U146" s="4" t="s">
        <v>29</v>
      </c>
    </row>
    <row r="147" spans="1:21" s="3" customFormat="1" ht="28.8" x14ac:dyDescent="0.3">
      <c r="A147" s="4" t="str">
        <f>"CB000M87"</f>
        <v>CB000M87</v>
      </c>
      <c r="B147" s="4" t="s">
        <v>1249</v>
      </c>
      <c r="C147" s="4" t="s">
        <v>1250</v>
      </c>
      <c r="D147" s="4" t="s">
        <v>1251</v>
      </c>
      <c r="E147" s="4" t="s">
        <v>1252</v>
      </c>
      <c r="F147" s="4"/>
      <c r="G147" s="4" t="s">
        <v>967</v>
      </c>
      <c r="H147" s="4" t="s">
        <v>26</v>
      </c>
      <c r="I147" s="4" t="str">
        <f>"43420"</f>
        <v>43420</v>
      </c>
      <c r="J147" s="4" t="s">
        <v>968</v>
      </c>
      <c r="K147" s="4" t="str">
        <f>"(P) 419-334-4517"</f>
        <v>(P) 419-334-4517</v>
      </c>
      <c r="L147" s="4" t="s">
        <v>1253</v>
      </c>
      <c r="M147" s="4" t="s">
        <v>1249</v>
      </c>
      <c r="N147" s="4" t="s">
        <v>1252</v>
      </c>
      <c r="O147" s="4"/>
      <c r="P147" s="4" t="s">
        <v>967</v>
      </c>
      <c r="Q147" s="4" t="s">
        <v>26</v>
      </c>
      <c r="R147" s="4" t="str">
        <f>"43420"</f>
        <v>43420</v>
      </c>
      <c r="S147" s="4" t="s">
        <v>968</v>
      </c>
      <c r="T147" s="6">
        <v>44196</v>
      </c>
      <c r="U147" s="4" t="s">
        <v>29</v>
      </c>
    </row>
    <row r="148" spans="1:21" s="3" customFormat="1" ht="28.8" x14ac:dyDescent="0.3">
      <c r="A148" s="4" t="str">
        <f>"CB001AX0"</f>
        <v>CB001AX0</v>
      </c>
      <c r="B148" s="4" t="s">
        <v>1624</v>
      </c>
      <c r="C148" s="4" t="s">
        <v>719</v>
      </c>
      <c r="D148" s="4" t="s">
        <v>1625</v>
      </c>
      <c r="E148" s="4" t="s">
        <v>1626</v>
      </c>
      <c r="F148" s="4"/>
      <c r="G148" s="4" t="s">
        <v>1475</v>
      </c>
      <c r="H148" s="4" t="s">
        <v>26</v>
      </c>
      <c r="I148" s="4" t="str">
        <f>"44820"</f>
        <v>44820</v>
      </c>
      <c r="J148" s="4" t="s">
        <v>1476</v>
      </c>
      <c r="K148" s="4" t="str">
        <f>"(P) 419-562-9149 (F) 419-562-8676"</f>
        <v>(P) 419-562-9149 (F) 419-562-8676</v>
      </c>
      <c r="L148" s="4" t="s">
        <v>1627</v>
      </c>
      <c r="M148" s="4" t="s">
        <v>1624</v>
      </c>
      <c r="N148" s="4" t="s">
        <v>1626</v>
      </c>
      <c r="O148" s="4"/>
      <c r="P148" s="4" t="s">
        <v>1475</v>
      </c>
      <c r="Q148" s="4" t="s">
        <v>26</v>
      </c>
      <c r="R148" s="4" t="str">
        <f>"44820"</f>
        <v>44820</v>
      </c>
      <c r="S148" s="4" t="s">
        <v>1476</v>
      </c>
      <c r="T148" s="6">
        <v>44196</v>
      </c>
      <c r="U148" s="4" t="s">
        <v>29</v>
      </c>
    </row>
    <row r="149" spans="1:21" s="3" customFormat="1" x14ac:dyDescent="0.3">
      <c r="A149" s="4" t="str">
        <f>"CB000Q7Y"</f>
        <v>CB000Q7Y</v>
      </c>
      <c r="B149" s="4" t="s">
        <v>1338</v>
      </c>
      <c r="C149" s="4" t="s">
        <v>440</v>
      </c>
      <c r="D149" s="4" t="s">
        <v>1339</v>
      </c>
      <c r="E149" s="4" t="s">
        <v>1340</v>
      </c>
      <c r="F149" s="4"/>
      <c r="G149" s="4" t="s">
        <v>1341</v>
      </c>
      <c r="H149" s="4" t="s">
        <v>26</v>
      </c>
      <c r="I149" s="4" t="str">
        <f>"44124"</f>
        <v>44124</v>
      </c>
      <c r="J149" s="4" t="s">
        <v>43</v>
      </c>
      <c r="K149" s="4" t="str">
        <f>"(M) 216-410-3628"</f>
        <v>(M) 216-410-3628</v>
      </c>
      <c r="L149" s="4" t="s">
        <v>1342</v>
      </c>
      <c r="M149" s="4" t="s">
        <v>1338</v>
      </c>
      <c r="N149" s="4" t="s">
        <v>1340</v>
      </c>
      <c r="O149" s="4"/>
      <c r="P149" s="4" t="s">
        <v>1341</v>
      </c>
      <c r="Q149" s="4" t="s">
        <v>26</v>
      </c>
      <c r="R149" s="4" t="str">
        <f>"44142"</f>
        <v>44142</v>
      </c>
      <c r="S149" s="4" t="s">
        <v>43</v>
      </c>
      <c r="T149" s="6">
        <v>44196</v>
      </c>
      <c r="U149" s="4" t="s">
        <v>29</v>
      </c>
    </row>
    <row r="150" spans="1:21" s="3" customFormat="1" ht="28.8" x14ac:dyDescent="0.3">
      <c r="A150" s="4" t="str">
        <f>"CB000MC0"</f>
        <v>CB000MC0</v>
      </c>
      <c r="B150" s="4" t="s">
        <v>1254</v>
      </c>
      <c r="C150" s="4" t="s">
        <v>1255</v>
      </c>
      <c r="D150" s="4" t="s">
        <v>1256</v>
      </c>
      <c r="E150" s="4" t="s">
        <v>1257</v>
      </c>
      <c r="F150" s="4"/>
      <c r="G150" s="4" t="s">
        <v>1258</v>
      </c>
      <c r="H150" s="4" t="s">
        <v>566</v>
      </c>
      <c r="I150" s="4" t="str">
        <f>"46176"</f>
        <v>46176</v>
      </c>
      <c r="J150" s="4" t="s">
        <v>1259</v>
      </c>
      <c r="K150" s="4" t="str">
        <f>"(P) 502-314-5649 (F) 502-277-1119"</f>
        <v>(P) 502-314-5649 (F) 502-277-1119</v>
      </c>
      <c r="L150" s="4" t="s">
        <v>1260</v>
      </c>
      <c r="M150" s="4" t="s">
        <v>1254</v>
      </c>
      <c r="N150" s="4" t="s">
        <v>1257</v>
      </c>
      <c r="O150" s="4"/>
      <c r="P150" s="4" t="s">
        <v>1258</v>
      </c>
      <c r="Q150" s="4" t="s">
        <v>566</v>
      </c>
      <c r="R150" s="4" t="str">
        <f>"46716"</f>
        <v>46716</v>
      </c>
      <c r="S150" s="4" t="s">
        <v>1259</v>
      </c>
      <c r="T150" s="6">
        <v>44196</v>
      </c>
      <c r="U150" s="4" t="s">
        <v>29</v>
      </c>
    </row>
    <row r="151" spans="1:21" s="3" customFormat="1" x14ac:dyDescent="0.3">
      <c r="A151" s="4" t="str">
        <f>"CB001JC3"</f>
        <v>CB001JC3</v>
      </c>
      <c r="B151" s="4" t="s">
        <v>1774</v>
      </c>
      <c r="C151" s="4" t="s">
        <v>1775</v>
      </c>
      <c r="D151" s="4" t="s">
        <v>1776</v>
      </c>
      <c r="E151" s="4" t="s">
        <v>1777</v>
      </c>
      <c r="F151" s="4"/>
      <c r="G151" s="4" t="s">
        <v>1778</v>
      </c>
      <c r="H151" s="4" t="s">
        <v>26</v>
      </c>
      <c r="I151" s="4" t="str">
        <f>"45122"</f>
        <v>45122</v>
      </c>
      <c r="J151" s="4" t="s">
        <v>150</v>
      </c>
      <c r="K151" s="4" t="str">
        <f>"(P) 513-582-9005"</f>
        <v>(P) 513-582-9005</v>
      </c>
      <c r="L151" s="4" t="s">
        <v>1779</v>
      </c>
      <c r="M151" s="4" t="s">
        <v>1774</v>
      </c>
      <c r="N151" s="4" t="s">
        <v>1777</v>
      </c>
      <c r="O151" s="4"/>
      <c r="P151" s="4" t="s">
        <v>1778</v>
      </c>
      <c r="Q151" s="4" t="s">
        <v>26</v>
      </c>
      <c r="R151" s="4" t="str">
        <f>"45122"</f>
        <v>45122</v>
      </c>
      <c r="S151" s="4" t="s">
        <v>150</v>
      </c>
      <c r="T151" s="6">
        <v>44196</v>
      </c>
      <c r="U151" s="4" t="s">
        <v>29</v>
      </c>
    </row>
    <row r="152" spans="1:21" s="3" customFormat="1" ht="28.8" x14ac:dyDescent="0.3">
      <c r="A152" s="4" t="str">
        <f>"CB000MDY"</f>
        <v>CB000MDY</v>
      </c>
      <c r="B152" s="4" t="s">
        <v>1261</v>
      </c>
      <c r="C152" s="4" t="s">
        <v>126</v>
      </c>
      <c r="D152" s="4" t="s">
        <v>1262</v>
      </c>
      <c r="E152" s="4" t="s">
        <v>1263</v>
      </c>
      <c r="F152" s="4"/>
      <c r="G152" s="4" t="s">
        <v>1264</v>
      </c>
      <c r="H152" s="4" t="s">
        <v>26</v>
      </c>
      <c r="I152" s="4" t="str">
        <f>"43440"</f>
        <v>43440</v>
      </c>
      <c r="J152" s="4" t="s">
        <v>890</v>
      </c>
      <c r="K152" s="4" t="str">
        <f>"(P) 419-960-7487 (F) 419-960-7489"</f>
        <v>(P) 419-960-7487 (F) 419-960-7489</v>
      </c>
      <c r="L152" s="4" t="s">
        <v>1265</v>
      </c>
      <c r="M152" s="4" t="s">
        <v>1261</v>
      </c>
      <c r="N152" s="4" t="s">
        <v>1266</v>
      </c>
      <c r="O152" s="4"/>
      <c r="P152" s="4" t="s">
        <v>889</v>
      </c>
      <c r="Q152" s="4" t="s">
        <v>26</v>
      </c>
      <c r="R152" s="4" t="str">
        <f>"43452"</f>
        <v>43452</v>
      </c>
      <c r="S152" s="4" t="s">
        <v>890</v>
      </c>
      <c r="T152" s="6">
        <v>44196</v>
      </c>
      <c r="U152" s="4" t="s">
        <v>29</v>
      </c>
    </row>
    <row r="153" spans="1:21" s="3" customFormat="1" x14ac:dyDescent="0.3">
      <c r="A153" s="4" t="str">
        <f>"CB001C3E"</f>
        <v>CB001C3E</v>
      </c>
      <c r="B153" s="4" t="s">
        <v>1677</v>
      </c>
      <c r="C153" s="4" t="s">
        <v>544</v>
      </c>
      <c r="D153" s="4" t="s">
        <v>95</v>
      </c>
      <c r="E153" s="4" t="s">
        <v>1678</v>
      </c>
      <c r="F153" s="4"/>
      <c r="G153" s="4" t="s">
        <v>1679</v>
      </c>
      <c r="H153" s="4" t="s">
        <v>680</v>
      </c>
      <c r="I153" s="4" t="str">
        <f>"12025"</f>
        <v>12025</v>
      </c>
      <c r="J153" s="4" t="s">
        <v>130</v>
      </c>
      <c r="K153" s="4" t="str">
        <f>"(P) 518-844-1828"</f>
        <v>(P) 518-844-1828</v>
      </c>
      <c r="L153" s="4" t="s">
        <v>1680</v>
      </c>
      <c r="M153" s="4" t="s">
        <v>1677</v>
      </c>
      <c r="N153" s="4" t="s">
        <v>1681</v>
      </c>
      <c r="O153" s="4"/>
      <c r="P153" s="4" t="s">
        <v>1682</v>
      </c>
      <c r="Q153" s="4" t="s">
        <v>680</v>
      </c>
      <c r="R153" s="4" t="str">
        <f>"12078"</f>
        <v>12078</v>
      </c>
      <c r="S153" s="4" t="s">
        <v>130</v>
      </c>
      <c r="T153" s="6">
        <v>44196</v>
      </c>
      <c r="U153" s="4" t="s">
        <v>29</v>
      </c>
    </row>
    <row r="154" spans="1:21" s="3" customFormat="1" x14ac:dyDescent="0.3">
      <c r="A154" s="4" t="str">
        <f>"CB000UJT"</f>
        <v>CB000UJT</v>
      </c>
      <c r="B154" s="4" t="s">
        <v>1421</v>
      </c>
      <c r="C154" s="4" t="s">
        <v>1422</v>
      </c>
      <c r="D154" s="4" t="s">
        <v>1423</v>
      </c>
      <c r="E154" s="4" t="s">
        <v>1424</v>
      </c>
      <c r="F154" s="4"/>
      <c r="G154" s="4" t="s">
        <v>448</v>
      </c>
      <c r="H154" s="4" t="s">
        <v>26</v>
      </c>
      <c r="I154" s="4" t="str">
        <f>"44641"</f>
        <v>44641</v>
      </c>
      <c r="J154" s="4" t="s">
        <v>98</v>
      </c>
      <c r="K154" s="4" t="str">
        <f>"(P) 330-316-9857"</f>
        <v>(P) 330-316-9857</v>
      </c>
      <c r="L154" s="4"/>
      <c r="M154" s="4" t="s">
        <v>1421</v>
      </c>
      <c r="N154" s="4" t="s">
        <v>1425</v>
      </c>
      <c r="O154" s="4"/>
      <c r="P154" s="4" t="s">
        <v>448</v>
      </c>
      <c r="Q154" s="4" t="s">
        <v>26</v>
      </c>
      <c r="R154" s="4" t="str">
        <f>"44641"</f>
        <v>44641</v>
      </c>
      <c r="S154" s="4" t="s">
        <v>98</v>
      </c>
      <c r="T154" s="6">
        <v>44196</v>
      </c>
      <c r="U154" s="4" t="s">
        <v>29</v>
      </c>
    </row>
    <row r="155" spans="1:21" s="3" customFormat="1" ht="28.8" x14ac:dyDescent="0.3">
      <c r="A155" s="4" t="str">
        <f>"CB000PAW"</f>
        <v>CB000PAW</v>
      </c>
      <c r="B155" s="4" t="s">
        <v>1320</v>
      </c>
      <c r="C155" s="4" t="s">
        <v>1321</v>
      </c>
      <c r="D155" s="4" t="s">
        <v>1322</v>
      </c>
      <c r="E155" s="4" t="s">
        <v>1323</v>
      </c>
      <c r="F155" s="4"/>
      <c r="G155" s="4" t="s">
        <v>1324</v>
      </c>
      <c r="H155" s="4" t="s">
        <v>165</v>
      </c>
      <c r="I155" s="4" t="str">
        <f>"19357"</f>
        <v>19357</v>
      </c>
      <c r="J155" s="4" t="s">
        <v>1325</v>
      </c>
      <c r="K155" s="4" t="str">
        <f>"(P) 610-388-0816 (F) 610-388-0817 (M) 610-306-6753"</f>
        <v>(P) 610-388-0816 (F) 610-388-0817 (M) 610-306-6753</v>
      </c>
      <c r="L155" s="4" t="s">
        <v>1326</v>
      </c>
      <c r="M155" s="4" t="s">
        <v>1320</v>
      </c>
      <c r="N155" s="4" t="s">
        <v>1323</v>
      </c>
      <c r="O155" s="4"/>
      <c r="P155" s="4" t="s">
        <v>1324</v>
      </c>
      <c r="Q155" s="4" t="s">
        <v>165</v>
      </c>
      <c r="R155" s="4" t="str">
        <f>"19357"</f>
        <v>19357</v>
      </c>
      <c r="S155" s="4" t="s">
        <v>1325</v>
      </c>
      <c r="T155" s="6">
        <v>44196</v>
      </c>
      <c r="U155" s="4" t="s">
        <v>29</v>
      </c>
    </row>
    <row r="156" spans="1:21" s="3" customFormat="1" ht="28.8" x14ac:dyDescent="0.3">
      <c r="A156" s="4" t="str">
        <f>"CB000DLH"</f>
        <v>CB000DLH</v>
      </c>
      <c r="B156" s="4" t="s">
        <v>496</v>
      </c>
      <c r="C156" s="4" t="s">
        <v>497</v>
      </c>
      <c r="D156" s="4" t="s">
        <v>498</v>
      </c>
      <c r="E156" s="4" t="s">
        <v>499</v>
      </c>
      <c r="F156" s="4"/>
      <c r="G156" s="4" t="s">
        <v>500</v>
      </c>
      <c r="H156" s="4" t="s">
        <v>26</v>
      </c>
      <c r="I156" s="4" t="str">
        <f>"44273"</f>
        <v>44273</v>
      </c>
      <c r="J156" s="4" t="s">
        <v>501</v>
      </c>
      <c r="K156" s="4" t="str">
        <f>"(P) 330-242-2338 (F) 330-769-3536"</f>
        <v>(P) 330-242-2338 (F) 330-769-3536</v>
      </c>
      <c r="L156" s="4" t="s">
        <v>502</v>
      </c>
      <c r="M156" s="4" t="s">
        <v>496</v>
      </c>
      <c r="N156" s="4" t="s">
        <v>499</v>
      </c>
      <c r="O156" s="4"/>
      <c r="P156" s="4" t="s">
        <v>500</v>
      </c>
      <c r="Q156" s="4" t="s">
        <v>26</v>
      </c>
      <c r="R156" s="4" t="str">
        <f>"44273"</f>
        <v>44273</v>
      </c>
      <c r="S156" s="4" t="s">
        <v>501</v>
      </c>
      <c r="T156" s="6">
        <v>44196</v>
      </c>
      <c r="U156" s="4" t="s">
        <v>29</v>
      </c>
    </row>
    <row r="157" spans="1:21" s="3" customFormat="1" ht="28.8" x14ac:dyDescent="0.3">
      <c r="A157" s="4" t="str">
        <f>"CB0029ND"</f>
        <v>CB0029ND</v>
      </c>
      <c r="B157" s="4" t="s">
        <v>1842</v>
      </c>
      <c r="C157" s="4" t="s">
        <v>1843</v>
      </c>
      <c r="D157" s="4" t="s">
        <v>1844</v>
      </c>
      <c r="E157" s="4" t="s">
        <v>1845</v>
      </c>
      <c r="F157" s="4"/>
      <c r="G157" s="4" t="s">
        <v>1846</v>
      </c>
      <c r="H157" s="4" t="s">
        <v>26</v>
      </c>
      <c r="I157" s="4" t="str">
        <f>"45373"</f>
        <v>45373</v>
      </c>
      <c r="J157" s="4" t="s">
        <v>330</v>
      </c>
      <c r="K157" s="4" t="str">
        <f>"(F) 212-948-6397 (M) 937-418-3517"</f>
        <v>(F) 212-948-6397 (M) 937-418-3517</v>
      </c>
      <c r="L157" s="4" t="s">
        <v>1847</v>
      </c>
      <c r="M157" s="4" t="s">
        <v>1842</v>
      </c>
      <c r="N157" s="4" t="s">
        <v>1845</v>
      </c>
      <c r="O157" s="4"/>
      <c r="P157" s="4" t="s">
        <v>1846</v>
      </c>
      <c r="Q157" s="4" t="s">
        <v>26</v>
      </c>
      <c r="R157" s="4" t="str">
        <f>"45373"</f>
        <v>45373</v>
      </c>
      <c r="S157" s="4" t="s">
        <v>330</v>
      </c>
      <c r="T157" s="6">
        <v>44196</v>
      </c>
      <c r="U157" s="4" t="s">
        <v>29</v>
      </c>
    </row>
    <row r="158" spans="1:21" s="3" customFormat="1" x14ac:dyDescent="0.3">
      <c r="A158" s="4" t="str">
        <f>"CB000DT3"</f>
        <v>CB000DT3</v>
      </c>
      <c r="B158" s="4" t="s">
        <v>515</v>
      </c>
      <c r="C158" s="4" t="s">
        <v>516</v>
      </c>
      <c r="D158" s="4" t="s">
        <v>517</v>
      </c>
      <c r="E158" s="4" t="s">
        <v>518</v>
      </c>
      <c r="F158" s="4"/>
      <c r="G158" s="4" t="s">
        <v>519</v>
      </c>
      <c r="H158" s="4" t="s">
        <v>26</v>
      </c>
      <c r="I158" s="4" t="str">
        <f>"45760"</f>
        <v>45760</v>
      </c>
      <c r="J158" s="4" t="s">
        <v>520</v>
      </c>
      <c r="K158" s="4" t="str">
        <f>"(P) 740-992-4243"</f>
        <v>(P) 740-992-4243</v>
      </c>
      <c r="L158" s="4" t="s">
        <v>521</v>
      </c>
      <c r="M158" s="4" t="s">
        <v>515</v>
      </c>
      <c r="N158" s="4" t="s">
        <v>518</v>
      </c>
      <c r="O158" s="4"/>
      <c r="P158" s="4" t="s">
        <v>519</v>
      </c>
      <c r="Q158" s="4" t="s">
        <v>26</v>
      </c>
      <c r="R158" s="4" t="str">
        <f>"45760"</f>
        <v>45760</v>
      </c>
      <c r="S158" s="4" t="s">
        <v>520</v>
      </c>
      <c r="T158" s="6">
        <v>44196</v>
      </c>
      <c r="U158" s="4" t="s">
        <v>29</v>
      </c>
    </row>
    <row r="159" spans="1:21" s="3" customFormat="1" ht="28.8" x14ac:dyDescent="0.3">
      <c r="A159" s="4" t="str">
        <f>"CB000DU1"</f>
        <v>CB000DU1</v>
      </c>
      <c r="B159" s="4" t="s">
        <v>522</v>
      </c>
      <c r="C159" s="4" t="s">
        <v>440</v>
      </c>
      <c r="D159" s="4" t="s">
        <v>523</v>
      </c>
      <c r="E159" s="4" t="s">
        <v>524</v>
      </c>
      <c r="F159" s="4"/>
      <c r="G159" s="4" t="s">
        <v>493</v>
      </c>
      <c r="H159" s="4" t="s">
        <v>26</v>
      </c>
      <c r="I159" s="4" t="str">
        <f>"44210"</f>
        <v>44210</v>
      </c>
      <c r="J159" s="4" t="s">
        <v>217</v>
      </c>
      <c r="K159" s="4" t="str">
        <f>"(P) 330-730-6166"</f>
        <v>(P) 330-730-6166</v>
      </c>
      <c r="L159" s="4" t="s">
        <v>525</v>
      </c>
      <c r="M159" s="4" t="s">
        <v>522</v>
      </c>
      <c r="N159" s="4" t="s">
        <v>524</v>
      </c>
      <c r="O159" s="4"/>
      <c r="P159" s="4" t="s">
        <v>493</v>
      </c>
      <c r="Q159" s="4" t="s">
        <v>26</v>
      </c>
      <c r="R159" s="4" t="str">
        <f>"44210"</f>
        <v>44210</v>
      </c>
      <c r="S159" s="4" t="s">
        <v>217</v>
      </c>
      <c r="T159" s="6">
        <v>44196</v>
      </c>
      <c r="U159" s="4" t="s">
        <v>29</v>
      </c>
    </row>
    <row r="160" spans="1:21" s="3" customFormat="1" ht="28.8" x14ac:dyDescent="0.3">
      <c r="A160" s="4" t="str">
        <f>"CB000DWY"</f>
        <v>CB000DWY</v>
      </c>
      <c r="B160" s="4" t="s">
        <v>526</v>
      </c>
      <c r="C160" s="4" t="s">
        <v>527</v>
      </c>
      <c r="D160" s="4" t="s">
        <v>528</v>
      </c>
      <c r="E160" s="4" t="s">
        <v>529</v>
      </c>
      <c r="F160" s="4"/>
      <c r="G160" s="4" t="s">
        <v>530</v>
      </c>
      <c r="H160" s="4" t="s">
        <v>26</v>
      </c>
      <c r="I160" s="4" t="str">
        <f>"45103"</f>
        <v>45103</v>
      </c>
      <c r="J160" s="4" t="s">
        <v>150</v>
      </c>
      <c r="K160" s="4" t="str">
        <f>"(P) 513-735-2299 (F) 513-735-0474"</f>
        <v>(P) 513-735-2299 (F) 513-735-0474</v>
      </c>
      <c r="L160" s="4" t="s">
        <v>531</v>
      </c>
      <c r="M160" s="4" t="s">
        <v>526</v>
      </c>
      <c r="N160" s="4" t="s">
        <v>529</v>
      </c>
      <c r="O160" s="4"/>
      <c r="P160" s="4" t="s">
        <v>530</v>
      </c>
      <c r="Q160" s="4" t="s">
        <v>26</v>
      </c>
      <c r="R160" s="4" t="str">
        <f>"45103"</f>
        <v>45103</v>
      </c>
      <c r="S160" s="4" t="s">
        <v>150</v>
      </c>
      <c r="T160" s="6">
        <v>44196</v>
      </c>
      <c r="U160" s="4" t="s">
        <v>29</v>
      </c>
    </row>
    <row r="161" spans="1:21" s="3" customFormat="1" ht="28.8" x14ac:dyDescent="0.3">
      <c r="A161" s="4" t="str">
        <f>"CB000DXW"</f>
        <v>CB000DXW</v>
      </c>
      <c r="B161" s="4" t="s">
        <v>532</v>
      </c>
      <c r="C161" s="4" t="s">
        <v>533</v>
      </c>
      <c r="D161" s="4" t="s">
        <v>534</v>
      </c>
      <c r="E161" s="4" t="s">
        <v>535</v>
      </c>
      <c r="F161" s="4"/>
      <c r="G161" s="4" t="s">
        <v>536</v>
      </c>
      <c r="H161" s="4" t="s">
        <v>26</v>
      </c>
      <c r="I161" s="4" t="str">
        <f>"44090"</f>
        <v>44090</v>
      </c>
      <c r="J161" s="4" t="s">
        <v>377</v>
      </c>
      <c r="K161" s="4" t="str">
        <f>"(P) 440-774-5656 (M) 440-935-7703"</f>
        <v>(P) 440-774-5656 (M) 440-935-7703</v>
      </c>
      <c r="L161" s="4" t="s">
        <v>537</v>
      </c>
      <c r="M161" s="4" t="s">
        <v>532</v>
      </c>
      <c r="N161" s="4" t="s">
        <v>535</v>
      </c>
      <c r="O161" s="4"/>
      <c r="P161" s="4" t="s">
        <v>536</v>
      </c>
      <c r="Q161" s="4" t="s">
        <v>26</v>
      </c>
      <c r="R161" s="4" t="str">
        <f>"44090"</f>
        <v>44090</v>
      </c>
      <c r="S161" s="4" t="s">
        <v>377</v>
      </c>
      <c r="T161" s="6">
        <v>44196</v>
      </c>
      <c r="U161" s="4" t="s">
        <v>29</v>
      </c>
    </row>
    <row r="162" spans="1:21" s="3" customFormat="1" ht="28.8" x14ac:dyDescent="0.3">
      <c r="A162" s="4" t="str">
        <f>"CB000DYU"</f>
        <v>CB000DYU</v>
      </c>
      <c r="B162" s="4" t="s">
        <v>538</v>
      </c>
      <c r="C162" s="4" t="s">
        <v>539</v>
      </c>
      <c r="D162" s="4" t="s">
        <v>540</v>
      </c>
      <c r="E162" s="4" t="s">
        <v>541</v>
      </c>
      <c r="F162" s="4"/>
      <c r="G162" s="4" t="s">
        <v>120</v>
      </c>
      <c r="H162" s="4" t="s">
        <v>26</v>
      </c>
      <c r="I162" s="4" t="str">
        <f>"44513"</f>
        <v>44513</v>
      </c>
      <c r="J162" s="4" t="s">
        <v>121</v>
      </c>
      <c r="K162" s="4" t="str">
        <f>"(P) 330-792-9932 (M) 330-565-0828"</f>
        <v>(P) 330-792-9932 (M) 330-565-0828</v>
      </c>
      <c r="L162" s="4" t="s">
        <v>542</v>
      </c>
      <c r="M162" s="4" t="s">
        <v>538</v>
      </c>
      <c r="N162" s="4" t="s">
        <v>541</v>
      </c>
      <c r="O162" s="4"/>
      <c r="P162" s="4" t="s">
        <v>120</v>
      </c>
      <c r="Q162" s="4" t="s">
        <v>26</v>
      </c>
      <c r="R162" s="4" t="str">
        <f>"44513"</f>
        <v>44513</v>
      </c>
      <c r="S162" s="4" t="s">
        <v>121</v>
      </c>
      <c r="T162" s="6">
        <v>44196</v>
      </c>
      <c r="U162" s="4" t="s">
        <v>29</v>
      </c>
    </row>
    <row r="163" spans="1:21" s="3" customFormat="1" ht="28.8" x14ac:dyDescent="0.3">
      <c r="A163" s="4" t="str">
        <f>"CB000DZS"</f>
        <v>CB000DZS</v>
      </c>
      <c r="B163" s="4" t="s">
        <v>543</v>
      </c>
      <c r="C163" s="4" t="s">
        <v>544</v>
      </c>
      <c r="D163" s="4" t="s">
        <v>545</v>
      </c>
      <c r="E163" s="4" t="s">
        <v>546</v>
      </c>
      <c r="F163" s="4"/>
      <c r="G163" s="4" t="s">
        <v>547</v>
      </c>
      <c r="H163" s="4" t="s">
        <v>26</v>
      </c>
      <c r="I163" s="4" t="str">
        <f>"43056"</f>
        <v>43056</v>
      </c>
      <c r="J163" s="4" t="s">
        <v>548</v>
      </c>
      <c r="K163" s="4" t="str">
        <f>"(P) 740-323-2100 (F) 740-323-2107"</f>
        <v>(P) 740-323-2100 (F) 740-323-2107</v>
      </c>
      <c r="L163" s="4" t="s">
        <v>549</v>
      </c>
      <c r="M163" s="4" t="s">
        <v>543</v>
      </c>
      <c r="N163" s="4" t="s">
        <v>546</v>
      </c>
      <c r="O163" s="4"/>
      <c r="P163" s="4" t="s">
        <v>547</v>
      </c>
      <c r="Q163" s="4" t="s">
        <v>26</v>
      </c>
      <c r="R163" s="4" t="str">
        <f>"43056"</f>
        <v>43056</v>
      </c>
      <c r="S163" s="4" t="s">
        <v>548</v>
      </c>
      <c r="T163" s="6">
        <v>44196</v>
      </c>
      <c r="U163" s="4" t="s">
        <v>29</v>
      </c>
    </row>
    <row r="164" spans="1:21" s="3" customFormat="1" ht="28.8" x14ac:dyDescent="0.3">
      <c r="A164" s="4" t="str">
        <f>"CB000E4C"</f>
        <v>CB000E4C</v>
      </c>
      <c r="B164" s="4" t="s">
        <v>550</v>
      </c>
      <c r="C164" s="4" t="s">
        <v>551</v>
      </c>
      <c r="D164" s="4" t="s">
        <v>552</v>
      </c>
      <c r="E164" s="4" t="s">
        <v>553</v>
      </c>
      <c r="F164" s="4"/>
      <c r="G164" s="4" t="s">
        <v>554</v>
      </c>
      <c r="H164" s="4" t="s">
        <v>26</v>
      </c>
      <c r="I164" s="4" t="str">
        <f>"44053"</f>
        <v>44053</v>
      </c>
      <c r="J164" s="4" t="s">
        <v>377</v>
      </c>
      <c r="K164" s="4" t="str">
        <f>"(P) 440-282-3209 (M) 440-219-2395"</f>
        <v>(P) 440-282-3209 (M) 440-219-2395</v>
      </c>
      <c r="L164" s="4" t="s">
        <v>555</v>
      </c>
      <c r="M164" s="4" t="s">
        <v>550</v>
      </c>
      <c r="N164" s="4" t="s">
        <v>553</v>
      </c>
      <c r="O164" s="4"/>
      <c r="P164" s="4" t="s">
        <v>554</v>
      </c>
      <c r="Q164" s="4" t="s">
        <v>26</v>
      </c>
      <c r="R164" s="4" t="str">
        <f>"44053"</f>
        <v>44053</v>
      </c>
      <c r="S164" s="4" t="s">
        <v>377</v>
      </c>
      <c r="T164" s="6">
        <v>44196</v>
      </c>
      <c r="U164" s="4" t="s">
        <v>29</v>
      </c>
    </row>
    <row r="165" spans="1:21" s="3" customFormat="1" x14ac:dyDescent="0.3">
      <c r="A165" s="4" t="str">
        <f>"CB0019E4"</f>
        <v>CB0019E4</v>
      </c>
      <c r="B165" s="4" t="s">
        <v>1603</v>
      </c>
      <c r="C165" s="4" t="s">
        <v>1604</v>
      </c>
      <c r="D165" s="4" t="s">
        <v>1605</v>
      </c>
      <c r="E165" s="4" t="s">
        <v>1606</v>
      </c>
      <c r="F165" s="4"/>
      <c r="G165" s="4" t="s">
        <v>455</v>
      </c>
      <c r="H165" s="4" t="s">
        <v>26</v>
      </c>
      <c r="I165" s="4" t="str">
        <f>"43067"</f>
        <v>43067</v>
      </c>
      <c r="J165" s="4" t="s">
        <v>489</v>
      </c>
      <c r="K165" s="4" t="str">
        <f>"(P) 937-645-9031"</f>
        <v>(P) 937-645-9031</v>
      </c>
      <c r="L165" s="4" t="s">
        <v>1607</v>
      </c>
      <c r="M165" s="4" t="s">
        <v>1603</v>
      </c>
      <c r="N165" s="4" t="s">
        <v>1606</v>
      </c>
      <c r="O165" s="4"/>
      <c r="P165" s="4" t="s">
        <v>1608</v>
      </c>
      <c r="Q165" s="4" t="s">
        <v>26</v>
      </c>
      <c r="R165" s="4" t="str">
        <f>"43067"</f>
        <v>43067</v>
      </c>
      <c r="S165" s="4" t="s">
        <v>489</v>
      </c>
      <c r="T165" s="6">
        <v>44196</v>
      </c>
      <c r="U165" s="4" t="s">
        <v>29</v>
      </c>
    </row>
    <row r="166" spans="1:21" s="3" customFormat="1" x14ac:dyDescent="0.3">
      <c r="A166" s="4" t="str">
        <f>"CB0011ZX"</f>
        <v>CB0011ZX</v>
      </c>
      <c r="B166" s="4" t="s">
        <v>1472</v>
      </c>
      <c r="C166" s="4" t="s">
        <v>1473</v>
      </c>
      <c r="D166" s="4" t="s">
        <v>928</v>
      </c>
      <c r="E166" s="4" t="s">
        <v>1474</v>
      </c>
      <c r="F166" s="4"/>
      <c r="G166" s="4" t="s">
        <v>1475</v>
      </c>
      <c r="H166" s="4" t="s">
        <v>26</v>
      </c>
      <c r="I166" s="4" t="str">
        <f>"44820"</f>
        <v>44820</v>
      </c>
      <c r="J166" s="4" t="s">
        <v>1476</v>
      </c>
      <c r="K166" s="4" t="str">
        <f>"(P) 419-569-4343"</f>
        <v>(P) 419-569-4343</v>
      </c>
      <c r="L166" s="4" t="s">
        <v>1477</v>
      </c>
      <c r="M166" s="4" t="s">
        <v>1472</v>
      </c>
      <c r="N166" s="4" t="s">
        <v>1474</v>
      </c>
      <c r="O166" s="4"/>
      <c r="P166" s="4" t="s">
        <v>1475</v>
      </c>
      <c r="Q166" s="4" t="s">
        <v>26</v>
      </c>
      <c r="R166" s="4" t="str">
        <f>"44820"</f>
        <v>44820</v>
      </c>
      <c r="S166" s="4" t="s">
        <v>1476</v>
      </c>
      <c r="T166" s="6">
        <v>44196</v>
      </c>
      <c r="U166" s="4" t="s">
        <v>29</v>
      </c>
    </row>
    <row r="167" spans="1:21" s="3" customFormat="1" ht="28.8" x14ac:dyDescent="0.3">
      <c r="A167" s="4" t="str">
        <f>"CB000E92"</f>
        <v>CB000E92</v>
      </c>
      <c r="B167" s="4" t="s">
        <v>556</v>
      </c>
      <c r="C167" s="4" t="s">
        <v>557</v>
      </c>
      <c r="D167" s="4" t="s">
        <v>558</v>
      </c>
      <c r="E167" s="4" t="s">
        <v>559</v>
      </c>
      <c r="F167" s="4"/>
      <c r="G167" s="4" t="s">
        <v>472</v>
      </c>
      <c r="H167" s="4" t="s">
        <v>26</v>
      </c>
      <c r="I167" s="4" t="str">
        <f>"45247"</f>
        <v>45247</v>
      </c>
      <c r="J167" s="4" t="s">
        <v>473</v>
      </c>
      <c r="K167" s="4" t="str">
        <f>"(F) 513-661-4933 (M) 917-292-6779"</f>
        <v>(F) 513-661-4933 (M) 917-292-6779</v>
      </c>
      <c r="L167" s="4" t="s">
        <v>560</v>
      </c>
      <c r="M167" s="4" t="s">
        <v>556</v>
      </c>
      <c r="N167" s="4" t="s">
        <v>559</v>
      </c>
      <c r="O167" s="4"/>
      <c r="P167" s="4" t="s">
        <v>472</v>
      </c>
      <c r="Q167" s="4" t="s">
        <v>26</v>
      </c>
      <c r="R167" s="4" t="str">
        <f>"45247"</f>
        <v>45247</v>
      </c>
      <c r="S167" s="4" t="s">
        <v>473</v>
      </c>
      <c r="T167" s="6">
        <v>44196</v>
      </c>
      <c r="U167" s="4" t="s">
        <v>29</v>
      </c>
    </row>
    <row r="168" spans="1:21" s="3" customFormat="1" ht="28.8" x14ac:dyDescent="0.3">
      <c r="A168" s="4" t="str">
        <f>"CB000EAZ"</f>
        <v>CB000EAZ</v>
      </c>
      <c r="B168" s="4" t="s">
        <v>561</v>
      </c>
      <c r="C168" s="4" t="s">
        <v>562</v>
      </c>
      <c r="D168" s="4" t="s">
        <v>563</v>
      </c>
      <c r="E168" s="4" t="s">
        <v>564</v>
      </c>
      <c r="F168" s="4"/>
      <c r="G168" s="4" t="s">
        <v>565</v>
      </c>
      <c r="H168" s="4" t="s">
        <v>566</v>
      </c>
      <c r="I168" s="4" t="str">
        <f>"47111"</f>
        <v>47111</v>
      </c>
      <c r="J168" s="4" t="s">
        <v>567</v>
      </c>
      <c r="K168" s="4" t="str">
        <f>"(P) 812-256-3967 (F) 502-371-8012 (M) 502-419-2343"</f>
        <v>(P) 812-256-3967 (F) 502-371-8012 (M) 502-419-2343</v>
      </c>
      <c r="L168" s="4" t="s">
        <v>568</v>
      </c>
      <c r="M168" s="4" t="s">
        <v>561</v>
      </c>
      <c r="N168" s="4" t="s">
        <v>564</v>
      </c>
      <c r="O168" s="4"/>
      <c r="P168" s="4" t="s">
        <v>565</v>
      </c>
      <c r="Q168" s="4" t="s">
        <v>566</v>
      </c>
      <c r="R168" s="4" t="str">
        <f>"47111"</f>
        <v>47111</v>
      </c>
      <c r="S168" s="4" t="s">
        <v>567</v>
      </c>
      <c r="T168" s="6">
        <v>44196</v>
      </c>
      <c r="U168" s="4" t="s">
        <v>29</v>
      </c>
    </row>
    <row r="169" spans="1:21" s="3" customFormat="1" ht="28.8" x14ac:dyDescent="0.3">
      <c r="A169" s="4" t="str">
        <f>"CB000EBX"</f>
        <v>CB000EBX</v>
      </c>
      <c r="B169" s="4" t="s">
        <v>569</v>
      </c>
      <c r="C169" s="4" t="s">
        <v>169</v>
      </c>
      <c r="D169" s="4" t="s">
        <v>570</v>
      </c>
      <c r="E169" s="4" t="s">
        <v>571</v>
      </c>
      <c r="F169" s="4"/>
      <c r="G169" s="4" t="s">
        <v>572</v>
      </c>
      <c r="H169" s="4" t="s">
        <v>26</v>
      </c>
      <c r="I169" s="4" t="str">
        <f>"44054"</f>
        <v>44054</v>
      </c>
      <c r="J169" s="4" t="s">
        <v>377</v>
      </c>
      <c r="K169" s="4" t="str">
        <f>"(P) 216-314-0321 (F) 440-835-8603 (M) 216-990-8368"</f>
        <v>(P) 216-314-0321 (F) 440-835-8603 (M) 216-990-8368</v>
      </c>
      <c r="L169" s="4" t="s">
        <v>573</v>
      </c>
      <c r="M169" s="4" t="s">
        <v>569</v>
      </c>
      <c r="N169" s="4" t="s">
        <v>571</v>
      </c>
      <c r="O169" s="4"/>
      <c r="P169" s="4" t="s">
        <v>572</v>
      </c>
      <c r="Q169" s="4" t="s">
        <v>26</v>
      </c>
      <c r="R169" s="4" t="str">
        <f>"44054"</f>
        <v>44054</v>
      </c>
      <c r="S169" s="4" t="s">
        <v>377</v>
      </c>
      <c r="T169" s="6">
        <v>44196</v>
      </c>
      <c r="U169" s="4" t="s">
        <v>29</v>
      </c>
    </row>
    <row r="170" spans="1:21" s="3" customFormat="1" x14ac:dyDescent="0.3">
      <c r="A170" s="4" t="str">
        <f>"CB000EER"</f>
        <v>CB000EER</v>
      </c>
      <c r="B170" s="4" t="s">
        <v>574</v>
      </c>
      <c r="C170" s="4" t="s">
        <v>575</v>
      </c>
      <c r="D170" s="4" t="s">
        <v>576</v>
      </c>
      <c r="E170" s="4" t="s">
        <v>577</v>
      </c>
      <c r="F170" s="4"/>
      <c r="G170" s="4" t="s">
        <v>357</v>
      </c>
      <c r="H170" s="4" t="s">
        <v>26</v>
      </c>
      <c r="I170" s="4" t="str">
        <f>"43615"</f>
        <v>43615</v>
      </c>
      <c r="J170" s="4" t="s">
        <v>358</v>
      </c>
      <c r="K170" s="4" t="str">
        <f>"(P) 419-708-8848"</f>
        <v>(P) 419-708-8848</v>
      </c>
      <c r="L170" s="4" t="s">
        <v>578</v>
      </c>
      <c r="M170" s="4" t="s">
        <v>574</v>
      </c>
      <c r="N170" s="4" t="s">
        <v>577</v>
      </c>
      <c r="O170" s="4"/>
      <c r="P170" s="4" t="s">
        <v>357</v>
      </c>
      <c r="Q170" s="4" t="s">
        <v>26</v>
      </c>
      <c r="R170" s="4" t="str">
        <f>"43615"</f>
        <v>43615</v>
      </c>
      <c r="S170" s="4" t="s">
        <v>358</v>
      </c>
      <c r="T170" s="6">
        <v>44196</v>
      </c>
      <c r="U170" s="4" t="s">
        <v>29</v>
      </c>
    </row>
    <row r="171" spans="1:21" s="3" customFormat="1" x14ac:dyDescent="0.3">
      <c r="A171" s="4" t="str">
        <f>"CB000EFP"</f>
        <v>CB000EFP</v>
      </c>
      <c r="B171" s="4" t="s">
        <v>579</v>
      </c>
      <c r="C171" s="4" t="s">
        <v>580</v>
      </c>
      <c r="D171" s="4" t="s">
        <v>581</v>
      </c>
      <c r="E171" s="4" t="s">
        <v>582</v>
      </c>
      <c r="F171" s="4"/>
      <c r="G171" s="4" t="s">
        <v>583</v>
      </c>
      <c r="H171" s="4" t="s">
        <v>26</v>
      </c>
      <c r="I171" s="4" t="str">
        <f>"45402"</f>
        <v>45402</v>
      </c>
      <c r="J171" s="4" t="s">
        <v>58</v>
      </c>
      <c r="K171" s="4" t="str">
        <f>"(P) 937-974-7325"</f>
        <v>(P) 937-974-7325</v>
      </c>
      <c r="L171" s="4" t="s">
        <v>584</v>
      </c>
      <c r="M171" s="4" t="s">
        <v>579</v>
      </c>
      <c r="N171" s="4" t="s">
        <v>585</v>
      </c>
      <c r="O171" s="4"/>
      <c r="P171" s="4" t="s">
        <v>583</v>
      </c>
      <c r="Q171" s="4" t="s">
        <v>26</v>
      </c>
      <c r="R171" s="4" t="str">
        <f>"45402"</f>
        <v>45402</v>
      </c>
      <c r="S171" s="4" t="s">
        <v>58</v>
      </c>
      <c r="T171" s="6">
        <v>44196</v>
      </c>
      <c r="U171" s="4" t="s">
        <v>29</v>
      </c>
    </row>
    <row r="172" spans="1:21" s="3" customFormat="1" ht="28.8" x14ac:dyDescent="0.3">
      <c r="A172" s="4" t="str">
        <f>"CB0013PA"</f>
        <v>CB0013PA</v>
      </c>
      <c r="B172" s="4" t="s">
        <v>1493</v>
      </c>
      <c r="C172" s="4" t="s">
        <v>1494</v>
      </c>
      <c r="D172" s="4" t="s">
        <v>1495</v>
      </c>
      <c r="E172" s="4" t="s">
        <v>1496</v>
      </c>
      <c r="F172" s="4"/>
      <c r="G172" s="4" t="s">
        <v>883</v>
      </c>
      <c r="H172" s="4" t="s">
        <v>26</v>
      </c>
      <c r="I172" s="4" t="str">
        <f>"44272"</f>
        <v>44272</v>
      </c>
      <c r="J172" s="4" t="s">
        <v>243</v>
      </c>
      <c r="K172" s="4" t="str">
        <f>"(M) 215-450-8335"</f>
        <v>(M) 215-450-8335</v>
      </c>
      <c r="L172" s="4" t="s">
        <v>1497</v>
      </c>
      <c r="M172" s="4" t="s">
        <v>1493</v>
      </c>
      <c r="N172" s="4" t="s">
        <v>1498</v>
      </c>
      <c r="O172" s="4"/>
      <c r="P172" s="4" t="s">
        <v>1452</v>
      </c>
      <c r="Q172" s="4" t="s">
        <v>26</v>
      </c>
      <c r="R172" s="4" t="str">
        <f>"44207"</f>
        <v>44207</v>
      </c>
      <c r="S172" s="4" t="s">
        <v>243</v>
      </c>
      <c r="T172" s="6">
        <v>44196</v>
      </c>
      <c r="U172" s="4" t="s">
        <v>29</v>
      </c>
    </row>
    <row r="173" spans="1:21" s="3" customFormat="1" ht="28.8" x14ac:dyDescent="0.3">
      <c r="A173" s="4" t="str">
        <f>"CB000EGM"</f>
        <v>CB000EGM</v>
      </c>
      <c r="B173" s="4" t="s">
        <v>586</v>
      </c>
      <c r="C173" s="4" t="s">
        <v>587</v>
      </c>
      <c r="D173" s="4" t="s">
        <v>588</v>
      </c>
      <c r="E173" s="4" t="s">
        <v>589</v>
      </c>
      <c r="F173" s="4"/>
      <c r="G173" s="4" t="s">
        <v>590</v>
      </c>
      <c r="H173" s="4" t="s">
        <v>26</v>
      </c>
      <c r="I173" s="4" t="str">
        <f>"44822"</f>
        <v>44822</v>
      </c>
      <c r="J173" s="4" t="s">
        <v>591</v>
      </c>
      <c r="K173" s="4" t="str">
        <f>"(M) 419-961-0655"</f>
        <v>(M) 419-961-0655</v>
      </c>
      <c r="L173" s="4" t="s">
        <v>592</v>
      </c>
      <c r="M173" s="4" t="s">
        <v>586</v>
      </c>
      <c r="N173" s="4" t="s">
        <v>589</v>
      </c>
      <c r="O173" s="4"/>
      <c r="P173" s="4" t="s">
        <v>590</v>
      </c>
      <c r="Q173" s="4" t="s">
        <v>26</v>
      </c>
      <c r="R173" s="4" t="str">
        <f>"44822"</f>
        <v>44822</v>
      </c>
      <c r="S173" s="4" t="s">
        <v>591</v>
      </c>
      <c r="T173" s="6">
        <v>44196</v>
      </c>
      <c r="U173" s="4" t="s">
        <v>29</v>
      </c>
    </row>
    <row r="174" spans="1:21" s="3" customFormat="1" ht="28.8" x14ac:dyDescent="0.3">
      <c r="A174" s="4" t="str">
        <f>"CB000EHK"</f>
        <v>CB000EHK</v>
      </c>
      <c r="B174" s="4" t="s">
        <v>593</v>
      </c>
      <c r="C174" s="4" t="s">
        <v>594</v>
      </c>
      <c r="D174" s="4" t="s">
        <v>595</v>
      </c>
      <c r="E174" s="4" t="s">
        <v>596</v>
      </c>
      <c r="F174" s="4"/>
      <c r="G174" s="4" t="s">
        <v>266</v>
      </c>
      <c r="H174" s="4" t="s">
        <v>26</v>
      </c>
      <c r="I174" s="4" t="str">
        <f>"44061"</f>
        <v>44061</v>
      </c>
      <c r="J174" s="4" t="s">
        <v>35</v>
      </c>
      <c r="K174" s="4" t="str">
        <f>"(P) 440-255-1450 (F) 440-352-0229"</f>
        <v>(P) 440-255-1450 (F) 440-352-0229</v>
      </c>
      <c r="L174" s="4" t="s">
        <v>597</v>
      </c>
      <c r="M174" s="4" t="s">
        <v>593</v>
      </c>
      <c r="N174" s="4" t="s">
        <v>596</v>
      </c>
      <c r="O174" s="4"/>
      <c r="P174" s="4" t="s">
        <v>266</v>
      </c>
      <c r="Q174" s="4" t="s">
        <v>26</v>
      </c>
      <c r="R174" s="4" t="str">
        <f>"44061"</f>
        <v>44061</v>
      </c>
      <c r="S174" s="4" t="s">
        <v>35</v>
      </c>
      <c r="T174" s="6">
        <v>44196</v>
      </c>
      <c r="U174" s="4" t="s">
        <v>29</v>
      </c>
    </row>
    <row r="175" spans="1:21" s="3" customFormat="1" x14ac:dyDescent="0.3">
      <c r="A175" s="4" t="str">
        <f>"CB000EKF"</f>
        <v>CB000EKF</v>
      </c>
      <c r="B175" s="4" t="s">
        <v>605</v>
      </c>
      <c r="C175" s="4" t="s">
        <v>606</v>
      </c>
      <c r="D175" s="4" t="s">
        <v>607</v>
      </c>
      <c r="E175" s="4" t="s">
        <v>608</v>
      </c>
      <c r="F175" s="4"/>
      <c r="G175" s="4" t="s">
        <v>609</v>
      </c>
      <c r="H175" s="4" t="s">
        <v>165</v>
      </c>
      <c r="I175" s="4" t="str">
        <f>"17202"</f>
        <v>17202</v>
      </c>
      <c r="J175" s="4" t="s">
        <v>210</v>
      </c>
      <c r="K175" s="4" t="str">
        <f>"(P) 717-360-9526"</f>
        <v>(P) 717-360-9526</v>
      </c>
      <c r="L175" s="4" t="s">
        <v>610</v>
      </c>
      <c r="M175" s="4" t="s">
        <v>605</v>
      </c>
      <c r="N175" s="4" t="s">
        <v>608</v>
      </c>
      <c r="O175" s="4"/>
      <c r="P175" s="4" t="s">
        <v>609</v>
      </c>
      <c r="Q175" s="4" t="s">
        <v>165</v>
      </c>
      <c r="R175" s="4" t="str">
        <f>"17202"</f>
        <v>17202</v>
      </c>
      <c r="S175" s="4" t="s">
        <v>210</v>
      </c>
      <c r="T175" s="6">
        <v>44196</v>
      </c>
      <c r="U175" s="4" t="s">
        <v>29</v>
      </c>
    </row>
    <row r="176" spans="1:21" s="3" customFormat="1" x14ac:dyDescent="0.3">
      <c r="A176" s="4" t="str">
        <f>"CB002BXN"</f>
        <v>CB002BXN</v>
      </c>
      <c r="B176" s="4" t="s">
        <v>1941</v>
      </c>
      <c r="C176" s="4" t="s">
        <v>1086</v>
      </c>
      <c r="D176" s="4" t="s">
        <v>1749</v>
      </c>
      <c r="E176" s="4" t="s">
        <v>1942</v>
      </c>
      <c r="F176" s="4"/>
      <c r="G176" s="4" t="s">
        <v>1943</v>
      </c>
      <c r="H176" s="4" t="s">
        <v>1944</v>
      </c>
      <c r="I176" s="4" t="str">
        <f>"63021"</f>
        <v>63021</v>
      </c>
      <c r="J176" s="4" t="s">
        <v>1945</v>
      </c>
      <c r="K176" s="4" t="str">
        <f>"(P) 314-437-9197"</f>
        <v>(P) 314-437-9197</v>
      </c>
      <c r="L176" s="4" t="s">
        <v>1946</v>
      </c>
      <c r="M176" s="4" t="s">
        <v>1941</v>
      </c>
      <c r="N176" s="4" t="s">
        <v>1942</v>
      </c>
      <c r="O176" s="4"/>
      <c r="P176" s="4" t="s">
        <v>1943</v>
      </c>
      <c r="Q176" s="4" t="s">
        <v>1944</v>
      </c>
      <c r="R176" s="4" t="str">
        <f>"63021"</f>
        <v>63021</v>
      </c>
      <c r="S176" s="4" t="s">
        <v>1945</v>
      </c>
      <c r="T176" s="6">
        <v>44196</v>
      </c>
      <c r="U176" s="4" t="s">
        <v>29</v>
      </c>
    </row>
    <row r="177" spans="1:21" s="3" customFormat="1" x14ac:dyDescent="0.3">
      <c r="A177" s="4" t="str">
        <f>"CB0017EC"</f>
        <v>CB0017EC</v>
      </c>
      <c r="B177" s="4" t="s">
        <v>1559</v>
      </c>
      <c r="C177" s="4" t="s">
        <v>1333</v>
      </c>
      <c r="D177" s="4" t="s">
        <v>1560</v>
      </c>
      <c r="E177" s="4" t="s">
        <v>1561</v>
      </c>
      <c r="F177" s="4"/>
      <c r="G177" s="4" t="s">
        <v>1562</v>
      </c>
      <c r="H177" s="4" t="s">
        <v>26</v>
      </c>
      <c r="I177" s="4" t="str">
        <f>"43228"</f>
        <v>43228</v>
      </c>
      <c r="J177" s="4" t="s">
        <v>210</v>
      </c>
      <c r="K177" s="4" t="str">
        <f>"(P) 614-565-9769"</f>
        <v>(P) 614-565-9769</v>
      </c>
      <c r="L177" s="4" t="s">
        <v>1563</v>
      </c>
      <c r="M177" s="4" t="s">
        <v>1559</v>
      </c>
      <c r="N177" s="4" t="s">
        <v>1561</v>
      </c>
      <c r="O177" s="4"/>
      <c r="P177" s="4" t="s">
        <v>253</v>
      </c>
      <c r="Q177" s="4" t="s">
        <v>26</v>
      </c>
      <c r="R177" s="4" t="str">
        <f>"43228"</f>
        <v>43228</v>
      </c>
      <c r="S177" s="4" t="s">
        <v>210</v>
      </c>
      <c r="T177" s="6">
        <v>44196</v>
      </c>
      <c r="U177" s="4" t="s">
        <v>29</v>
      </c>
    </row>
    <row r="178" spans="1:21" s="3" customFormat="1" ht="28.8" x14ac:dyDescent="0.3">
      <c r="A178" s="4" t="str">
        <f>"CB002BVS"</f>
        <v>CB002BVS</v>
      </c>
      <c r="B178" s="4" t="s">
        <v>1930</v>
      </c>
      <c r="C178" s="4" t="s">
        <v>1931</v>
      </c>
      <c r="D178" s="4" t="s">
        <v>1932</v>
      </c>
      <c r="E178" s="4" t="s">
        <v>1933</v>
      </c>
      <c r="F178" s="4"/>
      <c r="G178" s="4" t="s">
        <v>1934</v>
      </c>
      <c r="H178" s="4" t="s">
        <v>566</v>
      </c>
      <c r="I178" s="4" t="str">
        <f>"46268"</f>
        <v>46268</v>
      </c>
      <c r="J178" s="4" t="s">
        <v>1935</v>
      </c>
      <c r="K178" s="4" t="str">
        <f>"(P) 317-991-5400 (M) 317-363-0170"</f>
        <v>(P) 317-991-5400 (M) 317-363-0170</v>
      </c>
      <c r="L178" s="4"/>
      <c r="M178" s="4" t="s">
        <v>1930</v>
      </c>
      <c r="N178" s="4" t="s">
        <v>1933</v>
      </c>
      <c r="O178" s="4"/>
      <c r="P178" s="4" t="s">
        <v>1934</v>
      </c>
      <c r="Q178" s="4" t="s">
        <v>566</v>
      </c>
      <c r="R178" s="4" t="str">
        <f>"46268"</f>
        <v>46268</v>
      </c>
      <c r="S178" s="4" t="s">
        <v>1935</v>
      </c>
      <c r="T178" s="6">
        <v>44196</v>
      </c>
      <c r="U178" s="4" t="s">
        <v>29</v>
      </c>
    </row>
    <row r="179" spans="1:21" s="3" customFormat="1" ht="28.8" x14ac:dyDescent="0.3">
      <c r="A179" s="4" t="str">
        <f>"CB000RWF"</f>
        <v>CB000RWF</v>
      </c>
      <c r="B179" s="4" t="s">
        <v>1380</v>
      </c>
      <c r="C179" s="4" t="s">
        <v>1381</v>
      </c>
      <c r="D179" s="4" t="s">
        <v>1382</v>
      </c>
      <c r="E179" s="4" t="s">
        <v>1383</v>
      </c>
      <c r="F179" s="4"/>
      <c r="G179" s="4" t="s">
        <v>1384</v>
      </c>
      <c r="H179" s="4" t="s">
        <v>26</v>
      </c>
      <c r="I179" s="4" t="str">
        <f>"45743"</f>
        <v>45743</v>
      </c>
      <c r="J179" s="4" t="s">
        <v>520</v>
      </c>
      <c r="K179" s="4" t="str">
        <f>"(P) 740-985-9815 (F) 740-989-0083 (M) 614-226-6010"</f>
        <v>(P) 740-985-9815 (F) 740-989-0083 (M) 614-226-6010</v>
      </c>
      <c r="L179" s="4" t="s">
        <v>1385</v>
      </c>
      <c r="M179" s="4" t="s">
        <v>1380</v>
      </c>
      <c r="N179" s="4" t="s">
        <v>1383</v>
      </c>
      <c r="O179" s="4"/>
      <c r="P179" s="4" t="s">
        <v>1384</v>
      </c>
      <c r="Q179" s="4" t="s">
        <v>26</v>
      </c>
      <c r="R179" s="4" t="str">
        <f>"45743"</f>
        <v>45743</v>
      </c>
      <c r="S179" s="4" t="s">
        <v>520</v>
      </c>
      <c r="T179" s="6">
        <v>44196</v>
      </c>
      <c r="U179" s="4" t="s">
        <v>29</v>
      </c>
    </row>
    <row r="180" spans="1:21" s="3" customFormat="1" x14ac:dyDescent="0.3">
      <c r="A180" s="4" t="str">
        <f>"CB000EQ5"</f>
        <v>CB000EQ5</v>
      </c>
      <c r="B180" s="4" t="s">
        <v>611</v>
      </c>
      <c r="C180" s="4" t="s">
        <v>612</v>
      </c>
      <c r="D180" s="4" t="s">
        <v>613</v>
      </c>
      <c r="E180" s="4" t="s">
        <v>614</v>
      </c>
      <c r="F180" s="4"/>
      <c r="G180" s="4" t="s">
        <v>615</v>
      </c>
      <c r="H180" s="4" t="s">
        <v>26</v>
      </c>
      <c r="I180" s="4" t="str">
        <f>"44837"</f>
        <v>44837</v>
      </c>
      <c r="J180" s="4" t="s">
        <v>616</v>
      </c>
      <c r="K180" s="4" t="str">
        <f>"(P) 419-304-3623"</f>
        <v>(P) 419-304-3623</v>
      </c>
      <c r="L180" s="4" t="s">
        <v>617</v>
      </c>
      <c r="M180" s="4" t="s">
        <v>611</v>
      </c>
      <c r="N180" s="4" t="s">
        <v>614</v>
      </c>
      <c r="O180" s="4"/>
      <c r="P180" s="4" t="s">
        <v>615</v>
      </c>
      <c r="Q180" s="4" t="s">
        <v>26</v>
      </c>
      <c r="R180" s="4" t="str">
        <f>"44837"</f>
        <v>44837</v>
      </c>
      <c r="S180" s="4" t="s">
        <v>616</v>
      </c>
      <c r="T180" s="6">
        <v>44196</v>
      </c>
      <c r="U180" s="4" t="s">
        <v>29</v>
      </c>
    </row>
    <row r="181" spans="1:21" s="3" customFormat="1" x14ac:dyDescent="0.3">
      <c r="A181" s="4" t="str">
        <f>"CB000ES1"</f>
        <v>CB000ES1</v>
      </c>
      <c r="B181" s="4" t="s">
        <v>618</v>
      </c>
      <c r="C181" s="4" t="s">
        <v>619</v>
      </c>
      <c r="D181" s="4" t="s">
        <v>620</v>
      </c>
      <c r="E181" s="4" t="s">
        <v>621</v>
      </c>
      <c r="F181" s="4"/>
      <c r="G181" s="4" t="s">
        <v>622</v>
      </c>
      <c r="H181" s="4" t="s">
        <v>26</v>
      </c>
      <c r="I181" s="4" t="str">
        <f>"45429"</f>
        <v>45429</v>
      </c>
      <c r="J181" s="4" t="s">
        <v>58</v>
      </c>
      <c r="K181" s="4" t="str">
        <f>"(P) 937-609-3373"</f>
        <v>(P) 937-609-3373</v>
      </c>
      <c r="L181" s="4" t="s">
        <v>623</v>
      </c>
      <c r="M181" s="4" t="s">
        <v>618</v>
      </c>
      <c r="N181" s="4" t="s">
        <v>621</v>
      </c>
      <c r="O181" s="4"/>
      <c r="P181" s="4" t="s">
        <v>622</v>
      </c>
      <c r="Q181" s="4" t="s">
        <v>26</v>
      </c>
      <c r="R181" s="4" t="str">
        <f>"45429"</f>
        <v>45429</v>
      </c>
      <c r="S181" s="4" t="s">
        <v>58</v>
      </c>
      <c r="T181" s="6">
        <v>44196</v>
      </c>
      <c r="U181" s="4" t="s">
        <v>29</v>
      </c>
    </row>
    <row r="182" spans="1:21" s="3" customFormat="1" x14ac:dyDescent="0.3">
      <c r="A182" s="4" t="str">
        <f>"CB000EVW"</f>
        <v>CB000EVW</v>
      </c>
      <c r="B182" s="4" t="s">
        <v>624</v>
      </c>
      <c r="C182" s="4" t="s">
        <v>625</v>
      </c>
      <c r="D182" s="4" t="s">
        <v>626</v>
      </c>
      <c r="E182" s="4" t="s">
        <v>627</v>
      </c>
      <c r="F182" s="4"/>
      <c r="G182" s="4" t="s">
        <v>628</v>
      </c>
      <c r="H182" s="4" t="s">
        <v>26</v>
      </c>
      <c r="I182" s="4" t="str">
        <f>"45377"</f>
        <v>45377</v>
      </c>
      <c r="J182" s="4" t="s">
        <v>58</v>
      </c>
      <c r="K182" s="4" t="str">
        <f>"(M) 937-475-3894"</f>
        <v>(M) 937-475-3894</v>
      </c>
      <c r="L182" s="4" t="s">
        <v>629</v>
      </c>
      <c r="M182" s="4" t="s">
        <v>624</v>
      </c>
      <c r="N182" s="4" t="s">
        <v>627</v>
      </c>
      <c r="O182" s="4"/>
      <c r="P182" s="4" t="s">
        <v>628</v>
      </c>
      <c r="Q182" s="4" t="s">
        <v>26</v>
      </c>
      <c r="R182" s="4" t="str">
        <f>"45377"</f>
        <v>45377</v>
      </c>
      <c r="S182" s="4" t="s">
        <v>58</v>
      </c>
      <c r="T182" s="6">
        <v>44196</v>
      </c>
      <c r="U182" s="4" t="s">
        <v>29</v>
      </c>
    </row>
    <row r="183" spans="1:21" s="3" customFormat="1" x14ac:dyDescent="0.3">
      <c r="A183" s="4" t="str">
        <f>"CB0019D6"</f>
        <v>CB0019D6</v>
      </c>
      <c r="B183" s="4" t="s">
        <v>1598</v>
      </c>
      <c r="C183" s="4" t="s">
        <v>1599</v>
      </c>
      <c r="D183" s="4" t="s">
        <v>1600</v>
      </c>
      <c r="E183" s="4" t="s">
        <v>1601</v>
      </c>
      <c r="F183" s="4"/>
      <c r="G183" s="4" t="s">
        <v>42</v>
      </c>
      <c r="H183" s="4" t="s">
        <v>26</v>
      </c>
      <c r="I183" s="4" t="str">
        <f>"44070"</f>
        <v>44070</v>
      </c>
      <c r="J183" s="4" t="s">
        <v>43</v>
      </c>
      <c r="K183" s="4" t="str">
        <f>"(P) 440-296-0031"</f>
        <v>(P) 440-296-0031</v>
      </c>
      <c r="L183" s="4" t="s">
        <v>1602</v>
      </c>
      <c r="M183" s="4" t="s">
        <v>1598</v>
      </c>
      <c r="N183" s="4" t="s">
        <v>1601</v>
      </c>
      <c r="O183" s="4"/>
      <c r="P183" s="4" t="s">
        <v>42</v>
      </c>
      <c r="Q183" s="4" t="s">
        <v>26</v>
      </c>
      <c r="R183" s="4" t="str">
        <f>"44070"</f>
        <v>44070</v>
      </c>
      <c r="S183" s="4" t="s">
        <v>43</v>
      </c>
      <c r="T183" s="6">
        <v>44196</v>
      </c>
      <c r="U183" s="4" t="s">
        <v>29</v>
      </c>
    </row>
    <row r="184" spans="1:21" s="3" customFormat="1" x14ac:dyDescent="0.3">
      <c r="A184" s="4" t="str">
        <f>"CB000EZN"</f>
        <v>CB000EZN</v>
      </c>
      <c r="B184" s="4" t="s">
        <v>630</v>
      </c>
      <c r="C184" s="4" t="s">
        <v>31</v>
      </c>
      <c r="D184" s="4" t="s">
        <v>631</v>
      </c>
      <c r="E184" s="4" t="s">
        <v>632</v>
      </c>
      <c r="F184" s="4"/>
      <c r="G184" s="4" t="s">
        <v>633</v>
      </c>
      <c r="H184" s="4" t="s">
        <v>26</v>
      </c>
      <c r="I184" s="4" t="str">
        <f>"44044"</f>
        <v>44044</v>
      </c>
      <c r="J184" s="4" t="s">
        <v>377</v>
      </c>
      <c r="K184" s="4" t="str">
        <f>"(P) 440-315-5882"</f>
        <v>(P) 440-315-5882</v>
      </c>
      <c r="L184" s="4" t="s">
        <v>634</v>
      </c>
      <c r="M184" s="4" t="s">
        <v>630</v>
      </c>
      <c r="N184" s="4" t="s">
        <v>632</v>
      </c>
      <c r="O184" s="4"/>
      <c r="P184" s="4" t="s">
        <v>633</v>
      </c>
      <c r="Q184" s="4" t="s">
        <v>26</v>
      </c>
      <c r="R184" s="4" t="str">
        <f>"44044"</f>
        <v>44044</v>
      </c>
      <c r="S184" s="4" t="s">
        <v>377</v>
      </c>
      <c r="T184" s="6">
        <v>44196</v>
      </c>
      <c r="U184" s="4" t="s">
        <v>29</v>
      </c>
    </row>
    <row r="185" spans="1:21" s="3" customFormat="1" x14ac:dyDescent="0.3">
      <c r="A185" s="4" t="str">
        <f>"CB000NVV"</f>
        <v>CB000NVV</v>
      </c>
      <c r="B185" s="4" t="s">
        <v>1316</v>
      </c>
      <c r="C185" s="4" t="s">
        <v>1317</v>
      </c>
      <c r="D185" s="4" t="s">
        <v>1318</v>
      </c>
      <c r="E185" s="4" t="s">
        <v>1319</v>
      </c>
      <c r="F185" s="4"/>
      <c r="G185" s="4" t="s">
        <v>862</v>
      </c>
      <c r="H185" s="4" t="s">
        <v>26</v>
      </c>
      <c r="I185" s="4" t="str">
        <f>"44306"</f>
        <v>44306</v>
      </c>
      <c r="J185" s="4" t="s">
        <v>217</v>
      </c>
      <c r="K185" s="4" t="str">
        <f>"(M) 216-704-6616"</f>
        <v>(M) 216-704-6616</v>
      </c>
      <c r="L185" s="4"/>
      <c r="M185" s="4" t="s">
        <v>1316</v>
      </c>
      <c r="N185" s="4" t="s">
        <v>1319</v>
      </c>
      <c r="O185" s="4"/>
      <c r="P185" s="4" t="s">
        <v>862</v>
      </c>
      <c r="Q185" s="4" t="s">
        <v>26</v>
      </c>
      <c r="R185" s="4" t="str">
        <f>"44306"</f>
        <v>44306</v>
      </c>
      <c r="S185" s="4" t="s">
        <v>217</v>
      </c>
      <c r="T185" s="6">
        <v>44196</v>
      </c>
      <c r="U185" s="4" t="s">
        <v>29</v>
      </c>
    </row>
    <row r="186" spans="1:21" s="3" customFormat="1" x14ac:dyDescent="0.3">
      <c r="A186" s="4" t="str">
        <f>"CB001EXJ"</f>
        <v>CB001EXJ</v>
      </c>
      <c r="B186" s="4" t="s">
        <v>1695</v>
      </c>
      <c r="C186" s="4" t="s">
        <v>1696</v>
      </c>
      <c r="D186" s="4" t="s">
        <v>1697</v>
      </c>
      <c r="E186" s="4" t="s">
        <v>1698</v>
      </c>
      <c r="F186" s="4"/>
      <c r="G186" s="4" t="s">
        <v>253</v>
      </c>
      <c r="H186" s="4" t="s">
        <v>26</v>
      </c>
      <c r="I186" s="4" t="str">
        <f>"43223"</f>
        <v>43223</v>
      </c>
      <c r="J186" s="4" t="s">
        <v>210</v>
      </c>
      <c r="K186" s="4" t="str">
        <f>"(P) 614-787-6465"</f>
        <v>(P) 614-787-6465</v>
      </c>
      <c r="L186" s="4" t="s">
        <v>1699</v>
      </c>
      <c r="M186" s="4" t="s">
        <v>1695</v>
      </c>
      <c r="N186" s="4" t="s">
        <v>1698</v>
      </c>
      <c r="O186" s="4"/>
      <c r="P186" s="4" t="s">
        <v>253</v>
      </c>
      <c r="Q186" s="4" t="s">
        <v>26</v>
      </c>
      <c r="R186" s="4" t="str">
        <f>"43223"</f>
        <v>43223</v>
      </c>
      <c r="S186" s="4" t="s">
        <v>210</v>
      </c>
      <c r="T186" s="6">
        <v>44196</v>
      </c>
      <c r="U186" s="4" t="s">
        <v>29</v>
      </c>
    </row>
    <row r="187" spans="1:21" s="3" customFormat="1" x14ac:dyDescent="0.3">
      <c r="A187" s="4" t="str">
        <f>"CB001JHU"</f>
        <v>CB001JHU</v>
      </c>
      <c r="B187" s="4" t="s">
        <v>1780</v>
      </c>
      <c r="C187" s="4" t="s">
        <v>587</v>
      </c>
      <c r="D187" s="4" t="s">
        <v>1781</v>
      </c>
      <c r="E187" s="4" t="s">
        <v>1782</v>
      </c>
      <c r="F187" s="4"/>
      <c r="G187" s="4" t="s">
        <v>25</v>
      </c>
      <c r="H187" s="4" t="s">
        <v>26</v>
      </c>
      <c r="I187" s="4" t="str">
        <f>"45133"</f>
        <v>45133</v>
      </c>
      <c r="J187" s="4" t="s">
        <v>27</v>
      </c>
      <c r="K187" s="4" t="str">
        <f>"(P) 937-780-6453"</f>
        <v>(P) 937-780-6453</v>
      </c>
      <c r="L187" s="4" t="s">
        <v>1783</v>
      </c>
      <c r="M187" s="4" t="s">
        <v>1780</v>
      </c>
      <c r="N187" s="4" t="s">
        <v>1782</v>
      </c>
      <c r="O187" s="4"/>
      <c r="P187" s="4" t="s">
        <v>25</v>
      </c>
      <c r="Q187" s="4" t="s">
        <v>26</v>
      </c>
      <c r="R187" s="4" t="str">
        <f>"45133"</f>
        <v>45133</v>
      </c>
      <c r="S187" s="4" t="s">
        <v>27</v>
      </c>
      <c r="T187" s="6">
        <v>44196</v>
      </c>
      <c r="U187" s="4" t="s">
        <v>29</v>
      </c>
    </row>
    <row r="188" spans="1:21" s="3" customFormat="1" x14ac:dyDescent="0.3">
      <c r="A188" s="4" t="str">
        <f>"CB000F2C"</f>
        <v>CB000F2C</v>
      </c>
      <c r="B188" s="4" t="s">
        <v>635</v>
      </c>
      <c r="C188" s="4" t="s">
        <v>636</v>
      </c>
      <c r="D188" s="4" t="s">
        <v>637</v>
      </c>
      <c r="E188" s="4" t="s">
        <v>638</v>
      </c>
      <c r="F188" s="4"/>
      <c r="G188" s="4" t="s">
        <v>383</v>
      </c>
      <c r="H188" s="4" t="s">
        <v>26</v>
      </c>
      <c r="I188" s="4" t="str">
        <f>"44111"</f>
        <v>44111</v>
      </c>
      <c r="J188" s="4" t="s">
        <v>43</v>
      </c>
      <c r="K188" s="4" t="str">
        <f>"(M) 440-623-3836"</f>
        <v>(M) 440-623-3836</v>
      </c>
      <c r="L188" s="4" t="s">
        <v>639</v>
      </c>
      <c r="M188" s="4" t="s">
        <v>635</v>
      </c>
      <c r="N188" s="4" t="s">
        <v>640</v>
      </c>
      <c r="O188" s="4"/>
      <c r="P188" s="4" t="s">
        <v>383</v>
      </c>
      <c r="Q188" s="4" t="s">
        <v>26</v>
      </c>
      <c r="R188" s="4" t="str">
        <f>"44135"</f>
        <v>44135</v>
      </c>
      <c r="S188" s="4" t="s">
        <v>43</v>
      </c>
      <c r="T188" s="6">
        <v>44196</v>
      </c>
      <c r="U188" s="4" t="s">
        <v>29</v>
      </c>
    </row>
    <row r="189" spans="1:21" s="3" customFormat="1" ht="28.8" x14ac:dyDescent="0.3">
      <c r="A189" s="4" t="str">
        <f>"CB000F48"</f>
        <v>CB000F48</v>
      </c>
      <c r="B189" s="4" t="s">
        <v>641</v>
      </c>
      <c r="C189" s="4" t="s">
        <v>642</v>
      </c>
      <c r="D189" s="4" t="s">
        <v>643</v>
      </c>
      <c r="E189" s="4" t="s">
        <v>644</v>
      </c>
      <c r="F189" s="4"/>
      <c r="G189" s="4" t="s">
        <v>645</v>
      </c>
      <c r="H189" s="4" t="s">
        <v>26</v>
      </c>
      <c r="I189" s="4" t="str">
        <f>"44086"</f>
        <v>44086</v>
      </c>
      <c r="J189" s="4" t="s">
        <v>71</v>
      </c>
      <c r="K189" s="4" t="str">
        <f>"(P) 440-478-3028"</f>
        <v>(P) 440-478-3028</v>
      </c>
      <c r="L189" s="4" t="s">
        <v>646</v>
      </c>
      <c r="M189" s="4" t="s">
        <v>641</v>
      </c>
      <c r="N189" s="4" t="s">
        <v>644</v>
      </c>
      <c r="O189" s="4"/>
      <c r="P189" s="4" t="s">
        <v>645</v>
      </c>
      <c r="Q189" s="4" t="s">
        <v>26</v>
      </c>
      <c r="R189" s="4" t="str">
        <f>"44086"</f>
        <v>44086</v>
      </c>
      <c r="S189" s="4" t="s">
        <v>71</v>
      </c>
      <c r="T189" s="6">
        <v>44196</v>
      </c>
      <c r="U189" s="4" t="s">
        <v>29</v>
      </c>
    </row>
    <row r="190" spans="1:21" s="3" customFormat="1" ht="28.8" x14ac:dyDescent="0.3">
      <c r="A190" s="4" t="str">
        <f>"CB000F56"</f>
        <v>CB000F56</v>
      </c>
      <c r="B190" s="4" t="s">
        <v>647</v>
      </c>
      <c r="C190" s="4" t="s">
        <v>648</v>
      </c>
      <c r="D190" s="4" t="s">
        <v>649</v>
      </c>
      <c r="E190" s="4" t="s">
        <v>650</v>
      </c>
      <c r="F190" s="4"/>
      <c r="G190" s="4" t="s">
        <v>651</v>
      </c>
      <c r="H190" s="4" t="s">
        <v>26</v>
      </c>
      <c r="I190" s="4" t="str">
        <f>"43793"</f>
        <v>43793</v>
      </c>
      <c r="J190" s="4" t="s">
        <v>652</v>
      </c>
      <c r="K190" s="4" t="str">
        <f>"(P) 740-472-9828"</f>
        <v>(P) 740-472-9828</v>
      </c>
      <c r="L190" s="4" t="s">
        <v>653</v>
      </c>
      <c r="M190" s="4" t="s">
        <v>654</v>
      </c>
      <c r="N190" s="4" t="s">
        <v>655</v>
      </c>
      <c r="O190" s="4"/>
      <c r="P190" s="4" t="s">
        <v>656</v>
      </c>
      <c r="Q190" s="4" t="s">
        <v>26</v>
      </c>
      <c r="R190" s="4" t="str">
        <f>"43793"</f>
        <v>43793</v>
      </c>
      <c r="S190" s="4" t="s">
        <v>652</v>
      </c>
      <c r="T190" s="6">
        <v>44196</v>
      </c>
      <c r="U190" s="4" t="s">
        <v>29</v>
      </c>
    </row>
    <row r="191" spans="1:21" s="3" customFormat="1" ht="28.8" x14ac:dyDescent="0.3">
      <c r="A191" s="4" t="str">
        <f>"CB000F8Z"</f>
        <v>CB000F8Z</v>
      </c>
      <c r="B191" s="4" t="s">
        <v>670</v>
      </c>
      <c r="C191" s="4" t="s">
        <v>671</v>
      </c>
      <c r="D191" s="4" t="s">
        <v>672</v>
      </c>
      <c r="E191" s="4" t="s">
        <v>673</v>
      </c>
      <c r="F191" s="4"/>
      <c r="G191" s="4" t="s">
        <v>674</v>
      </c>
      <c r="H191" s="4" t="s">
        <v>26</v>
      </c>
      <c r="I191" s="4" t="str">
        <f>"44240"</f>
        <v>44240</v>
      </c>
      <c r="J191" s="4" t="s">
        <v>243</v>
      </c>
      <c r="K191" s="4" t="str">
        <f>"(P) 330-673-2702 (F) 330-673-2702"</f>
        <v>(P) 330-673-2702 (F) 330-673-2702</v>
      </c>
      <c r="L191" s="4" t="s">
        <v>675</v>
      </c>
      <c r="M191" s="4" t="s">
        <v>670</v>
      </c>
      <c r="N191" s="4" t="s">
        <v>673</v>
      </c>
      <c r="O191" s="4"/>
      <c r="P191" s="4" t="s">
        <v>674</v>
      </c>
      <c r="Q191" s="4" t="s">
        <v>26</v>
      </c>
      <c r="R191" s="4" t="str">
        <f>"44240"</f>
        <v>44240</v>
      </c>
      <c r="S191" s="4" t="s">
        <v>243</v>
      </c>
      <c r="T191" s="6">
        <v>44196</v>
      </c>
      <c r="U191" s="4" t="s">
        <v>29</v>
      </c>
    </row>
    <row r="192" spans="1:21" s="3" customFormat="1" ht="28.8" x14ac:dyDescent="0.3">
      <c r="A192" s="4" t="str">
        <f>"CB000FAV"</f>
        <v>CB000FAV</v>
      </c>
      <c r="B192" s="4" t="s">
        <v>685</v>
      </c>
      <c r="C192" s="4" t="s">
        <v>686</v>
      </c>
      <c r="D192" s="4" t="s">
        <v>687</v>
      </c>
      <c r="E192" s="4" t="s">
        <v>688</v>
      </c>
      <c r="F192" s="4"/>
      <c r="G192" s="4" t="s">
        <v>689</v>
      </c>
      <c r="H192" s="4" t="s">
        <v>690</v>
      </c>
      <c r="I192" s="4" t="str">
        <f>"75240"</f>
        <v>75240</v>
      </c>
      <c r="J192" s="4" t="s">
        <v>691</v>
      </c>
      <c r="K192" s="4" t="str">
        <f>"(M) 713-203-7862"</f>
        <v>(M) 713-203-7862</v>
      </c>
      <c r="L192" s="4" t="s">
        <v>692</v>
      </c>
      <c r="M192" s="4" t="s">
        <v>685</v>
      </c>
      <c r="N192" s="4" t="s">
        <v>688</v>
      </c>
      <c r="O192" s="4"/>
      <c r="P192" s="4" t="s">
        <v>689</v>
      </c>
      <c r="Q192" s="4" t="s">
        <v>690</v>
      </c>
      <c r="R192" s="4" t="str">
        <f>"75240"</f>
        <v>75240</v>
      </c>
      <c r="S192" s="4" t="s">
        <v>691</v>
      </c>
      <c r="T192" s="6">
        <v>44196</v>
      </c>
      <c r="U192" s="4" t="s">
        <v>29</v>
      </c>
    </row>
    <row r="193" spans="1:21" s="3" customFormat="1" ht="28.8" x14ac:dyDescent="0.3">
      <c r="A193" s="4" t="str">
        <f>"CB000F9X"</f>
        <v>CB000F9X</v>
      </c>
      <c r="B193" s="4" t="s">
        <v>676</v>
      </c>
      <c r="C193" s="4" t="s">
        <v>276</v>
      </c>
      <c r="D193" s="4" t="s">
        <v>677</v>
      </c>
      <c r="E193" s="4" t="s">
        <v>678</v>
      </c>
      <c r="F193" s="4"/>
      <c r="G193" s="4" t="s">
        <v>679</v>
      </c>
      <c r="H193" s="4" t="s">
        <v>680</v>
      </c>
      <c r="I193" s="4" t="str">
        <f>"12454"</f>
        <v>12454</v>
      </c>
      <c r="J193" s="4" t="s">
        <v>681</v>
      </c>
      <c r="K193" s="4" t="str">
        <f>"(P) 518-610-1338 (F) 888-505-6985"</f>
        <v>(P) 518-610-1338 (F) 888-505-6985</v>
      </c>
      <c r="L193" s="4" t="s">
        <v>682</v>
      </c>
      <c r="M193" s="4" t="s">
        <v>676</v>
      </c>
      <c r="N193" s="4" t="s">
        <v>683</v>
      </c>
      <c r="O193" s="4"/>
      <c r="P193" s="4" t="s">
        <v>684</v>
      </c>
      <c r="Q193" s="4" t="s">
        <v>26</v>
      </c>
      <c r="R193" s="4" t="str">
        <f>"45505"</f>
        <v>45505</v>
      </c>
      <c r="S193" s="4" t="s">
        <v>567</v>
      </c>
      <c r="T193" s="6">
        <v>44196</v>
      </c>
      <c r="U193" s="4" t="s">
        <v>29</v>
      </c>
    </row>
    <row r="194" spans="1:21" s="3" customFormat="1" x14ac:dyDescent="0.3">
      <c r="A194" s="4" t="str">
        <f>"CB000F64"</f>
        <v>CB000F64</v>
      </c>
      <c r="B194" s="4" t="s">
        <v>657</v>
      </c>
      <c r="C194" s="4" t="s">
        <v>658</v>
      </c>
      <c r="D194" s="4" t="s">
        <v>659</v>
      </c>
      <c r="E194" s="4" t="s">
        <v>660</v>
      </c>
      <c r="F194" s="4"/>
      <c r="G194" s="4" t="s">
        <v>661</v>
      </c>
      <c r="H194" s="4" t="s">
        <v>26</v>
      </c>
      <c r="I194" s="4" t="str">
        <f>"44041"</f>
        <v>44041</v>
      </c>
      <c r="J194" s="4" t="s">
        <v>662</v>
      </c>
      <c r="K194" s="4" t="str">
        <f>"(P) 440-364-4838"</f>
        <v>(P) 440-364-4838</v>
      </c>
      <c r="L194" s="4" t="s">
        <v>663</v>
      </c>
      <c r="M194" s="4" t="s">
        <v>657</v>
      </c>
      <c r="N194" s="4" t="s">
        <v>660</v>
      </c>
      <c r="O194" s="4"/>
      <c r="P194" s="4" t="s">
        <v>661</v>
      </c>
      <c r="Q194" s="4" t="s">
        <v>26</v>
      </c>
      <c r="R194" s="4" t="str">
        <f>"44041"</f>
        <v>44041</v>
      </c>
      <c r="S194" s="4" t="s">
        <v>662</v>
      </c>
      <c r="T194" s="6">
        <v>44196</v>
      </c>
      <c r="U194" s="4" t="s">
        <v>29</v>
      </c>
    </row>
    <row r="195" spans="1:21" s="3" customFormat="1" x14ac:dyDescent="0.3">
      <c r="A195" s="4" t="str">
        <f>"CB001B1N"</f>
        <v>CB001B1N</v>
      </c>
      <c r="B195" s="4" t="s">
        <v>1634</v>
      </c>
      <c r="C195" s="4" t="s">
        <v>912</v>
      </c>
      <c r="D195" s="4" t="s">
        <v>1635</v>
      </c>
      <c r="E195" s="4" t="s">
        <v>1636</v>
      </c>
      <c r="F195" s="4"/>
      <c r="G195" s="4" t="s">
        <v>279</v>
      </c>
      <c r="H195" s="4" t="s">
        <v>26</v>
      </c>
      <c r="I195" s="4" t="str">
        <f>"43054"</f>
        <v>43054</v>
      </c>
      <c r="J195" s="4" t="s">
        <v>210</v>
      </c>
      <c r="K195" s="4" t="str">
        <f>"(P) 614-207-3946"</f>
        <v>(P) 614-207-3946</v>
      </c>
      <c r="L195" s="4" t="s">
        <v>1637</v>
      </c>
      <c r="M195" s="4" t="s">
        <v>1634</v>
      </c>
      <c r="N195" s="4" t="s">
        <v>1636</v>
      </c>
      <c r="O195" s="4"/>
      <c r="P195" s="4" t="s">
        <v>279</v>
      </c>
      <c r="Q195" s="4" t="s">
        <v>26</v>
      </c>
      <c r="R195" s="4" t="str">
        <f>"43054"</f>
        <v>43054</v>
      </c>
      <c r="S195" s="4" t="s">
        <v>210</v>
      </c>
      <c r="T195" s="6">
        <v>44196</v>
      </c>
      <c r="U195" s="4" t="s">
        <v>29</v>
      </c>
    </row>
    <row r="196" spans="1:21" s="3" customFormat="1" x14ac:dyDescent="0.3">
      <c r="A196" s="4" t="str">
        <f>"CB000FDP"</f>
        <v>CB000FDP</v>
      </c>
      <c r="B196" s="4" t="s">
        <v>693</v>
      </c>
      <c r="C196" s="4" t="s">
        <v>694</v>
      </c>
      <c r="D196" s="4" t="s">
        <v>695</v>
      </c>
      <c r="E196" s="4" t="s">
        <v>696</v>
      </c>
      <c r="F196" s="4"/>
      <c r="G196" s="4" t="s">
        <v>697</v>
      </c>
      <c r="H196" s="4" t="s">
        <v>165</v>
      </c>
      <c r="I196" s="4" t="str">
        <f>"19426"</f>
        <v>19426</v>
      </c>
      <c r="J196" s="4" t="s">
        <v>58</v>
      </c>
      <c r="K196" s="4" t="str">
        <f>"(P) 484-988-0959"</f>
        <v>(P) 484-988-0959</v>
      </c>
      <c r="L196" s="4" t="s">
        <v>698</v>
      </c>
      <c r="M196" s="4" t="s">
        <v>693</v>
      </c>
      <c r="N196" s="4" t="s">
        <v>699</v>
      </c>
      <c r="O196" s="4"/>
      <c r="P196" s="4" t="s">
        <v>700</v>
      </c>
      <c r="Q196" s="4" t="s">
        <v>26</v>
      </c>
      <c r="R196" s="4" t="str">
        <f>"45039"</f>
        <v>45039</v>
      </c>
      <c r="S196" s="4" t="s">
        <v>310</v>
      </c>
      <c r="T196" s="6">
        <v>44196</v>
      </c>
      <c r="U196" s="4" t="s">
        <v>29</v>
      </c>
    </row>
    <row r="197" spans="1:21" s="3" customFormat="1" ht="28.8" x14ac:dyDescent="0.3">
      <c r="A197" s="4" t="str">
        <f>"CB000LHU"</f>
        <v>CB000LHU</v>
      </c>
      <c r="B197" s="4" t="s">
        <v>1149</v>
      </c>
      <c r="C197" s="4" t="s">
        <v>1150</v>
      </c>
      <c r="D197" s="4" t="s">
        <v>1151</v>
      </c>
      <c r="E197" s="4" t="s">
        <v>1152</v>
      </c>
      <c r="F197" s="4"/>
      <c r="G197" s="4" t="s">
        <v>1153</v>
      </c>
      <c r="H197" s="4" t="s">
        <v>26</v>
      </c>
      <c r="I197" s="4" t="str">
        <f>"44039"</f>
        <v>44039</v>
      </c>
      <c r="J197" s="4" t="s">
        <v>377</v>
      </c>
      <c r="K197" s="4" t="str">
        <f>"(P) 567-200-3110 (F) 567-200-3110"</f>
        <v>(P) 567-200-3110 (F) 567-200-3110</v>
      </c>
      <c r="L197" s="4" t="s">
        <v>1154</v>
      </c>
      <c r="M197" s="4" t="s">
        <v>1149</v>
      </c>
      <c r="N197" s="4" t="s">
        <v>1152</v>
      </c>
      <c r="O197" s="4"/>
      <c r="P197" s="4" t="s">
        <v>1153</v>
      </c>
      <c r="Q197" s="4" t="s">
        <v>26</v>
      </c>
      <c r="R197" s="4" t="str">
        <f>"44039"</f>
        <v>44039</v>
      </c>
      <c r="S197" s="4" t="s">
        <v>377</v>
      </c>
      <c r="T197" s="6">
        <v>44196</v>
      </c>
      <c r="U197" s="4" t="s">
        <v>29</v>
      </c>
    </row>
    <row r="198" spans="1:21" s="3" customFormat="1" x14ac:dyDescent="0.3">
      <c r="A198" s="4" t="str">
        <f>"CB000FFK"</f>
        <v>CB000FFK</v>
      </c>
      <c r="B198" s="4" t="s">
        <v>701</v>
      </c>
      <c r="C198" s="4" t="s">
        <v>702</v>
      </c>
      <c r="D198" s="4" t="s">
        <v>703</v>
      </c>
      <c r="E198" s="4" t="s">
        <v>704</v>
      </c>
      <c r="F198" s="4"/>
      <c r="G198" s="4" t="s">
        <v>705</v>
      </c>
      <c r="H198" s="4" t="s">
        <v>26</v>
      </c>
      <c r="I198" s="4" t="str">
        <f>"43537"</f>
        <v>43537</v>
      </c>
      <c r="J198" s="4" t="s">
        <v>358</v>
      </c>
      <c r="K198" s="4" t="str">
        <f>"(M) 419-575-6814"</f>
        <v>(M) 419-575-6814</v>
      </c>
      <c r="L198" s="4" t="s">
        <v>706</v>
      </c>
      <c r="M198" s="4" t="s">
        <v>701</v>
      </c>
      <c r="N198" s="4" t="s">
        <v>704</v>
      </c>
      <c r="O198" s="4"/>
      <c r="P198" s="4" t="s">
        <v>705</v>
      </c>
      <c r="Q198" s="4" t="s">
        <v>26</v>
      </c>
      <c r="R198" s="4" t="str">
        <f>"43537"</f>
        <v>43537</v>
      </c>
      <c r="S198" s="4" t="s">
        <v>358</v>
      </c>
      <c r="T198" s="6">
        <v>44196</v>
      </c>
      <c r="U198" s="4" t="s">
        <v>29</v>
      </c>
    </row>
    <row r="199" spans="1:21" s="3" customFormat="1" x14ac:dyDescent="0.3">
      <c r="A199" s="4" t="str">
        <f>"CB000F72"</f>
        <v>CB000F72</v>
      </c>
      <c r="B199" s="4" t="s">
        <v>664</v>
      </c>
      <c r="C199" s="4" t="s">
        <v>665</v>
      </c>
      <c r="D199" s="4" t="s">
        <v>666</v>
      </c>
      <c r="E199" s="4" t="s">
        <v>667</v>
      </c>
      <c r="F199" s="4"/>
      <c r="G199" s="4" t="s">
        <v>668</v>
      </c>
      <c r="H199" s="4" t="s">
        <v>26</v>
      </c>
      <c r="I199" s="4" t="str">
        <f>"44036"</f>
        <v>44036</v>
      </c>
      <c r="J199" s="4" t="s">
        <v>377</v>
      </c>
      <c r="K199" s="4" t="str">
        <f>"(P) 216-213-6197"</f>
        <v>(P) 216-213-6197</v>
      </c>
      <c r="L199" s="4" t="s">
        <v>669</v>
      </c>
      <c r="M199" s="4" t="s">
        <v>664</v>
      </c>
      <c r="N199" s="4" t="s">
        <v>667</v>
      </c>
      <c r="O199" s="4"/>
      <c r="P199" s="4" t="s">
        <v>668</v>
      </c>
      <c r="Q199" s="4" t="s">
        <v>26</v>
      </c>
      <c r="R199" s="4" t="str">
        <f>"44036"</f>
        <v>44036</v>
      </c>
      <c r="S199" s="4" t="s">
        <v>377</v>
      </c>
      <c r="T199" s="6">
        <v>44196</v>
      </c>
      <c r="U199" s="4" t="s">
        <v>29</v>
      </c>
    </row>
    <row r="200" spans="1:21" s="3" customFormat="1" ht="28.8" x14ac:dyDescent="0.3">
      <c r="A200" s="4" t="str">
        <f>"CB000FHF"</f>
        <v>CB000FHF</v>
      </c>
      <c r="B200" s="4" t="s">
        <v>707</v>
      </c>
      <c r="C200" s="4" t="s">
        <v>708</v>
      </c>
      <c r="D200" s="4" t="s">
        <v>709</v>
      </c>
      <c r="E200" s="4" t="s">
        <v>710</v>
      </c>
      <c r="F200" s="4"/>
      <c r="G200" s="4" t="s">
        <v>711</v>
      </c>
      <c r="H200" s="4" t="s">
        <v>26</v>
      </c>
      <c r="I200" s="4" t="str">
        <f>"44451"</f>
        <v>44451</v>
      </c>
      <c r="J200" s="4" t="s">
        <v>121</v>
      </c>
      <c r="K200" s="4" t="str">
        <f>"(P) 330-538-2215 (F) 330-538-2278 (M) 330-503-9282"</f>
        <v>(P) 330-538-2215 (F) 330-538-2278 (M) 330-503-9282</v>
      </c>
      <c r="L200" s="4" t="s">
        <v>712</v>
      </c>
      <c r="M200" s="4" t="s">
        <v>707</v>
      </c>
      <c r="N200" s="4" t="s">
        <v>710</v>
      </c>
      <c r="O200" s="4"/>
      <c r="P200" s="4" t="s">
        <v>711</v>
      </c>
      <c r="Q200" s="4" t="s">
        <v>26</v>
      </c>
      <c r="R200" s="4" t="str">
        <f>"44451"</f>
        <v>44451</v>
      </c>
      <c r="S200" s="4" t="s">
        <v>121</v>
      </c>
      <c r="T200" s="6">
        <v>44196</v>
      </c>
      <c r="U200" s="4" t="s">
        <v>29</v>
      </c>
    </row>
    <row r="201" spans="1:21" s="3" customFormat="1" ht="28.8" x14ac:dyDescent="0.3">
      <c r="A201" s="4" t="str">
        <f>"CB000FJD"</f>
        <v>CB000FJD</v>
      </c>
      <c r="B201" s="4" t="s">
        <v>713</v>
      </c>
      <c r="C201" s="4" t="s">
        <v>326</v>
      </c>
      <c r="D201" s="4" t="s">
        <v>714</v>
      </c>
      <c r="E201" s="4" t="s">
        <v>715</v>
      </c>
      <c r="F201" s="4"/>
      <c r="G201" s="4" t="s">
        <v>716</v>
      </c>
      <c r="H201" s="4" t="s">
        <v>26</v>
      </c>
      <c r="I201" s="4" t="str">
        <f>"44266"</f>
        <v>44266</v>
      </c>
      <c r="J201" s="4" t="s">
        <v>243</v>
      </c>
      <c r="K201" s="4" t="str">
        <f>"(P) 330-296-8257 (M) 330-968-7868"</f>
        <v>(P) 330-296-8257 (M) 330-968-7868</v>
      </c>
      <c r="L201" s="4" t="s">
        <v>717</v>
      </c>
      <c r="M201" s="4" t="s">
        <v>713</v>
      </c>
      <c r="N201" s="4" t="s">
        <v>715</v>
      </c>
      <c r="O201" s="4"/>
      <c r="P201" s="4" t="s">
        <v>716</v>
      </c>
      <c r="Q201" s="4" t="s">
        <v>26</v>
      </c>
      <c r="R201" s="4" t="str">
        <f>"44266"</f>
        <v>44266</v>
      </c>
      <c r="S201" s="4" t="s">
        <v>243</v>
      </c>
      <c r="T201" s="6">
        <v>44196</v>
      </c>
      <c r="U201" s="4" t="s">
        <v>29</v>
      </c>
    </row>
    <row r="202" spans="1:21" s="3" customFormat="1" ht="28.8" x14ac:dyDescent="0.3">
      <c r="A202" s="4" t="str">
        <f>"CB000FKB"</f>
        <v>CB000FKB</v>
      </c>
      <c r="B202" s="4" t="s">
        <v>718</v>
      </c>
      <c r="C202" s="4" t="s">
        <v>719</v>
      </c>
      <c r="D202" s="4" t="s">
        <v>720</v>
      </c>
      <c r="E202" s="4" t="s">
        <v>721</v>
      </c>
      <c r="F202" s="4"/>
      <c r="G202" s="4" t="s">
        <v>722</v>
      </c>
      <c r="H202" s="4" t="s">
        <v>26</v>
      </c>
      <c r="I202" s="4" t="str">
        <f>"44657"</f>
        <v>44657</v>
      </c>
      <c r="J202" s="4" t="s">
        <v>98</v>
      </c>
      <c r="K202" s="4" t="str">
        <f>"(P) 330-862-0307"</f>
        <v>(P) 330-862-0307</v>
      </c>
      <c r="L202" s="4" t="s">
        <v>723</v>
      </c>
      <c r="M202" s="4" t="s">
        <v>718</v>
      </c>
      <c r="N202" s="4" t="s">
        <v>721</v>
      </c>
      <c r="O202" s="4"/>
      <c r="P202" s="4" t="s">
        <v>722</v>
      </c>
      <c r="Q202" s="4" t="s">
        <v>26</v>
      </c>
      <c r="R202" s="4" t="str">
        <f>"44657"</f>
        <v>44657</v>
      </c>
      <c r="S202" s="4" t="s">
        <v>98</v>
      </c>
      <c r="T202" s="6">
        <v>44196</v>
      </c>
      <c r="U202" s="4" t="s">
        <v>29</v>
      </c>
    </row>
    <row r="203" spans="1:21" s="3" customFormat="1" ht="28.8" x14ac:dyDescent="0.3">
      <c r="A203" s="4" t="str">
        <f>"CB000FL9"</f>
        <v>CB000FL9</v>
      </c>
      <c r="B203" s="4" t="s">
        <v>724</v>
      </c>
      <c r="C203" s="4" t="s">
        <v>725</v>
      </c>
      <c r="D203" s="4" t="s">
        <v>726</v>
      </c>
      <c r="E203" s="4" t="s">
        <v>727</v>
      </c>
      <c r="F203" s="4"/>
      <c r="G203" s="4" t="s">
        <v>728</v>
      </c>
      <c r="H203" s="4" t="s">
        <v>26</v>
      </c>
      <c r="I203" s="4" t="str">
        <f>"44074"</f>
        <v>44074</v>
      </c>
      <c r="J203" s="4" t="s">
        <v>377</v>
      </c>
      <c r="K203" s="4" t="str">
        <f>"(P) 440-775-4101 (M) 440-759-9152"</f>
        <v>(P) 440-775-4101 (M) 440-759-9152</v>
      </c>
      <c r="L203" s="4" t="s">
        <v>729</v>
      </c>
      <c r="M203" s="4" t="s">
        <v>724</v>
      </c>
      <c r="N203" s="4" t="s">
        <v>727</v>
      </c>
      <c r="O203" s="4"/>
      <c r="P203" s="4" t="s">
        <v>728</v>
      </c>
      <c r="Q203" s="4" t="s">
        <v>26</v>
      </c>
      <c r="R203" s="4" t="str">
        <f>"44074"</f>
        <v>44074</v>
      </c>
      <c r="S203" s="4" t="s">
        <v>377</v>
      </c>
      <c r="T203" s="6">
        <v>44196</v>
      </c>
      <c r="U203" s="4" t="s">
        <v>29</v>
      </c>
    </row>
    <row r="204" spans="1:21" s="3" customFormat="1" x14ac:dyDescent="0.3">
      <c r="A204" s="4" t="str">
        <f>"CB001JLN"</f>
        <v>CB001JLN</v>
      </c>
      <c r="B204" s="4" t="s">
        <v>1784</v>
      </c>
      <c r="C204" s="4" t="s">
        <v>1785</v>
      </c>
      <c r="D204" s="4" t="s">
        <v>1786</v>
      </c>
      <c r="E204" s="4" t="s">
        <v>1787</v>
      </c>
      <c r="F204" s="4"/>
      <c r="G204" s="4" t="s">
        <v>700</v>
      </c>
      <c r="H204" s="4" t="s">
        <v>26</v>
      </c>
      <c r="I204" s="4" t="str">
        <f>"45039"</f>
        <v>45039</v>
      </c>
      <c r="J204" s="4" t="s">
        <v>310</v>
      </c>
      <c r="K204" s="4" t="str">
        <f>"(P) 216-272-8696"</f>
        <v>(P) 216-272-8696</v>
      </c>
      <c r="L204" s="4" t="s">
        <v>1788</v>
      </c>
      <c r="M204" s="4" t="s">
        <v>1784</v>
      </c>
      <c r="N204" s="4" t="s">
        <v>1787</v>
      </c>
      <c r="O204" s="4"/>
      <c r="P204" s="4" t="s">
        <v>700</v>
      </c>
      <c r="Q204" s="4" t="s">
        <v>26</v>
      </c>
      <c r="R204" s="4" t="str">
        <f>"45039"</f>
        <v>45039</v>
      </c>
      <c r="S204" s="4" t="s">
        <v>310</v>
      </c>
      <c r="T204" s="6">
        <v>44196</v>
      </c>
      <c r="U204" s="4" t="s">
        <v>29</v>
      </c>
    </row>
    <row r="205" spans="1:21" s="3" customFormat="1" x14ac:dyDescent="0.3">
      <c r="A205" s="4" t="str">
        <f>"CB000FN5"</f>
        <v>CB000FN5</v>
      </c>
      <c r="B205" s="4" t="s">
        <v>730</v>
      </c>
      <c r="C205" s="4" t="s">
        <v>731</v>
      </c>
      <c r="D205" s="4" t="s">
        <v>732</v>
      </c>
      <c r="E205" s="4" t="s">
        <v>733</v>
      </c>
      <c r="F205" s="4"/>
      <c r="G205" s="4" t="s">
        <v>734</v>
      </c>
      <c r="H205" s="4" t="s">
        <v>26</v>
      </c>
      <c r="I205" s="4" t="str">
        <f>"44217"</f>
        <v>44217</v>
      </c>
      <c r="J205" s="4" t="s">
        <v>735</v>
      </c>
      <c r="K205" s="4" t="str">
        <f>"(P) 330-465-5427"</f>
        <v>(P) 330-465-5427</v>
      </c>
      <c r="L205" s="4" t="s">
        <v>736</v>
      </c>
      <c r="M205" s="4" t="s">
        <v>730</v>
      </c>
      <c r="N205" s="4" t="s">
        <v>733</v>
      </c>
      <c r="O205" s="4"/>
      <c r="P205" s="4" t="s">
        <v>734</v>
      </c>
      <c r="Q205" s="4" t="s">
        <v>26</v>
      </c>
      <c r="R205" s="4" t="str">
        <f>"44217"</f>
        <v>44217</v>
      </c>
      <c r="S205" s="4" t="s">
        <v>735</v>
      </c>
      <c r="T205" s="6">
        <v>44196</v>
      </c>
      <c r="U205" s="4" t="s">
        <v>29</v>
      </c>
    </row>
    <row r="206" spans="1:21" s="3" customFormat="1" x14ac:dyDescent="0.3">
      <c r="A206" s="4" t="str">
        <f>"CB000FP3"</f>
        <v>CB000FP3</v>
      </c>
      <c r="B206" s="4" t="s">
        <v>737</v>
      </c>
      <c r="C206" s="4" t="s">
        <v>587</v>
      </c>
      <c r="D206" s="4" t="s">
        <v>738</v>
      </c>
      <c r="E206" s="4" t="s">
        <v>739</v>
      </c>
      <c r="F206" s="4"/>
      <c r="G206" s="4" t="s">
        <v>740</v>
      </c>
      <c r="H206" s="4" t="s">
        <v>26</v>
      </c>
      <c r="I206" s="4" t="str">
        <f>"43062"</f>
        <v>43062</v>
      </c>
      <c r="J206" s="4" t="s">
        <v>548</v>
      </c>
      <c r="K206" s="4" t="str">
        <f>"(P) 614-395-8063"</f>
        <v>(P) 614-395-8063</v>
      </c>
      <c r="L206" s="4" t="s">
        <v>741</v>
      </c>
      <c r="M206" s="4" t="s">
        <v>737</v>
      </c>
      <c r="N206" s="4" t="s">
        <v>739</v>
      </c>
      <c r="O206" s="4"/>
      <c r="P206" s="4" t="s">
        <v>740</v>
      </c>
      <c r="Q206" s="4" t="s">
        <v>26</v>
      </c>
      <c r="R206" s="4" t="str">
        <f>"43062"</f>
        <v>43062</v>
      </c>
      <c r="S206" s="4" t="s">
        <v>548</v>
      </c>
      <c r="T206" s="6">
        <v>44196</v>
      </c>
      <c r="U206" s="4" t="s">
        <v>29</v>
      </c>
    </row>
    <row r="207" spans="1:21" s="3" customFormat="1" ht="28.8" x14ac:dyDescent="0.3">
      <c r="A207" s="4" t="str">
        <f>"CB000FQ1"</f>
        <v>CB000FQ1</v>
      </c>
      <c r="B207" s="4" t="s">
        <v>742</v>
      </c>
      <c r="C207" s="4" t="s">
        <v>743</v>
      </c>
      <c r="D207" s="4" t="s">
        <v>744</v>
      </c>
      <c r="E207" s="4" t="s">
        <v>745</v>
      </c>
      <c r="F207" s="4"/>
      <c r="G207" s="4" t="s">
        <v>448</v>
      </c>
      <c r="H207" s="4" t="s">
        <v>26</v>
      </c>
      <c r="I207" s="4" t="str">
        <f>"44641"</f>
        <v>44641</v>
      </c>
      <c r="J207" s="4" t="s">
        <v>98</v>
      </c>
      <c r="K207" s="4" t="str">
        <f>"(P) 330-875-4702"</f>
        <v>(P) 330-875-4702</v>
      </c>
      <c r="L207" s="4" t="s">
        <v>746</v>
      </c>
      <c r="M207" s="4" t="s">
        <v>742</v>
      </c>
      <c r="N207" s="4" t="s">
        <v>745</v>
      </c>
      <c r="O207" s="4"/>
      <c r="P207" s="4" t="s">
        <v>448</v>
      </c>
      <c r="Q207" s="4" t="s">
        <v>26</v>
      </c>
      <c r="R207" s="4" t="str">
        <f>"44641"</f>
        <v>44641</v>
      </c>
      <c r="S207" s="4" t="s">
        <v>98</v>
      </c>
      <c r="T207" s="6">
        <v>44196</v>
      </c>
      <c r="U207" s="4" t="s">
        <v>29</v>
      </c>
    </row>
    <row r="208" spans="1:21" s="3" customFormat="1" x14ac:dyDescent="0.3">
      <c r="A208" s="4" t="str">
        <f>"CB000FSY"</f>
        <v>CB000FSY</v>
      </c>
      <c r="B208" s="4" t="s">
        <v>747</v>
      </c>
      <c r="C208" s="4" t="s">
        <v>748</v>
      </c>
      <c r="D208" s="4" t="s">
        <v>749</v>
      </c>
      <c r="E208" s="4" t="s">
        <v>750</v>
      </c>
      <c r="F208" s="4"/>
      <c r="G208" s="4" t="s">
        <v>472</v>
      </c>
      <c r="H208" s="4" t="s">
        <v>26</v>
      </c>
      <c r="I208" s="4" t="str">
        <f>"45208"</f>
        <v>45208</v>
      </c>
      <c r="J208" s="4" t="s">
        <v>473</v>
      </c>
      <c r="K208" s="4" t="str">
        <f>"(P) 513-871-1877"</f>
        <v>(P) 513-871-1877</v>
      </c>
      <c r="L208" s="4" t="s">
        <v>751</v>
      </c>
      <c r="M208" s="4" t="s">
        <v>747</v>
      </c>
      <c r="N208" s="4" t="s">
        <v>750</v>
      </c>
      <c r="O208" s="4"/>
      <c r="P208" s="4" t="s">
        <v>472</v>
      </c>
      <c r="Q208" s="4" t="s">
        <v>26</v>
      </c>
      <c r="R208" s="4" t="str">
        <f>"45208"</f>
        <v>45208</v>
      </c>
      <c r="S208" s="4" t="s">
        <v>473</v>
      </c>
      <c r="T208" s="6">
        <v>44196</v>
      </c>
      <c r="U208" s="4" t="s">
        <v>29</v>
      </c>
    </row>
    <row r="209" spans="1:21" s="3" customFormat="1" x14ac:dyDescent="0.3">
      <c r="A209" s="4" t="str">
        <f>"CB000ZPY"</f>
        <v>CB000ZPY</v>
      </c>
      <c r="B209" s="4" t="s">
        <v>1441</v>
      </c>
      <c r="C209" s="4" t="s">
        <v>1442</v>
      </c>
      <c r="D209" s="4" t="s">
        <v>1443</v>
      </c>
      <c r="E209" s="4" t="s">
        <v>1444</v>
      </c>
      <c r="F209" s="4"/>
      <c r="G209" s="4" t="s">
        <v>1445</v>
      </c>
      <c r="H209" s="4" t="s">
        <v>26</v>
      </c>
      <c r="I209" s="4" t="str">
        <f>"44258"</f>
        <v>44258</v>
      </c>
      <c r="J209" s="4" t="s">
        <v>501</v>
      </c>
      <c r="K209" s="4" t="str">
        <f>"(P) 216-272-3819"</f>
        <v>(P) 216-272-3819</v>
      </c>
      <c r="L209" s="4" t="s">
        <v>1446</v>
      </c>
      <c r="M209" s="4" t="s">
        <v>1441</v>
      </c>
      <c r="N209" s="4" t="s">
        <v>1447</v>
      </c>
      <c r="O209" s="4"/>
      <c r="P209" s="4" t="s">
        <v>1445</v>
      </c>
      <c r="Q209" s="4" t="s">
        <v>26</v>
      </c>
      <c r="R209" s="4" t="str">
        <f>"44256"</f>
        <v>44256</v>
      </c>
      <c r="S209" s="4" t="s">
        <v>501</v>
      </c>
      <c r="T209" s="6">
        <v>44196</v>
      </c>
      <c r="U209" s="4" t="s">
        <v>29</v>
      </c>
    </row>
    <row r="210" spans="1:21" s="3" customFormat="1" ht="28.8" x14ac:dyDescent="0.3">
      <c r="A210" s="4" t="str">
        <f>"CB000FTW"</f>
        <v>CB000FTW</v>
      </c>
      <c r="B210" s="4" t="s">
        <v>752</v>
      </c>
      <c r="C210" s="4" t="s">
        <v>298</v>
      </c>
      <c r="D210" s="4" t="s">
        <v>753</v>
      </c>
      <c r="E210" s="4" t="s">
        <v>754</v>
      </c>
      <c r="F210" s="4"/>
      <c r="G210" s="4" t="s">
        <v>628</v>
      </c>
      <c r="H210" s="4" t="s">
        <v>26</v>
      </c>
      <c r="I210" s="4" t="str">
        <f>"45377"</f>
        <v>45377</v>
      </c>
      <c r="J210" s="4" t="s">
        <v>58</v>
      </c>
      <c r="K210" s="4" t="str">
        <f>"(P) 937-890-0325 (M) 937-301-9060"</f>
        <v>(P) 937-890-0325 (M) 937-301-9060</v>
      </c>
      <c r="L210" s="4" t="s">
        <v>755</v>
      </c>
      <c r="M210" s="4" t="s">
        <v>752</v>
      </c>
      <c r="N210" s="4" t="s">
        <v>754</v>
      </c>
      <c r="O210" s="4"/>
      <c r="P210" s="4" t="s">
        <v>628</v>
      </c>
      <c r="Q210" s="4" t="s">
        <v>26</v>
      </c>
      <c r="R210" s="4" t="str">
        <f>"45377"</f>
        <v>45377</v>
      </c>
      <c r="S210" s="4" t="s">
        <v>58</v>
      </c>
      <c r="T210" s="6">
        <v>44196</v>
      </c>
      <c r="U210" s="4" t="s">
        <v>29</v>
      </c>
    </row>
    <row r="211" spans="1:21" s="3" customFormat="1" ht="28.8" x14ac:dyDescent="0.3">
      <c r="A211" s="4" t="str">
        <f>"CB000FUU"</f>
        <v>CB000FUU</v>
      </c>
      <c r="B211" s="4" t="s">
        <v>756</v>
      </c>
      <c r="C211" s="4" t="s">
        <v>757</v>
      </c>
      <c r="D211" s="4" t="s">
        <v>758</v>
      </c>
      <c r="E211" s="4" t="s">
        <v>759</v>
      </c>
      <c r="F211" s="4"/>
      <c r="G211" s="4" t="s">
        <v>253</v>
      </c>
      <c r="H211" s="4" t="s">
        <v>26</v>
      </c>
      <c r="I211" s="4" t="str">
        <f>"43207"</f>
        <v>43207</v>
      </c>
      <c r="J211" s="4" t="s">
        <v>210</v>
      </c>
      <c r="K211" s="4" t="str">
        <f>"(P) 614-295-8450 (P) 614-323-3900"</f>
        <v>(P) 614-295-8450 (P) 614-323-3900</v>
      </c>
      <c r="L211" s="4" t="s">
        <v>760</v>
      </c>
      <c r="M211" s="4" t="s">
        <v>756</v>
      </c>
      <c r="N211" s="4" t="s">
        <v>759</v>
      </c>
      <c r="O211" s="4"/>
      <c r="P211" s="4" t="s">
        <v>253</v>
      </c>
      <c r="Q211" s="4" t="s">
        <v>26</v>
      </c>
      <c r="R211" s="4" t="str">
        <f>"43207"</f>
        <v>43207</v>
      </c>
      <c r="S211" s="4" t="s">
        <v>210</v>
      </c>
      <c r="T211" s="6">
        <v>44196</v>
      </c>
      <c r="U211" s="4" t="s">
        <v>29</v>
      </c>
    </row>
    <row r="212" spans="1:21" s="3" customFormat="1" x14ac:dyDescent="0.3">
      <c r="A212" s="4" t="str">
        <f>"CB000FWQ"</f>
        <v>CB000FWQ</v>
      </c>
      <c r="B212" s="4" t="s">
        <v>761</v>
      </c>
      <c r="C212" s="4" t="s">
        <v>762</v>
      </c>
      <c r="D212" s="4" t="s">
        <v>763</v>
      </c>
      <c r="E212" s="4" t="s">
        <v>764</v>
      </c>
      <c r="F212" s="4"/>
      <c r="G212" s="4" t="s">
        <v>765</v>
      </c>
      <c r="H212" s="4" t="s">
        <v>26</v>
      </c>
      <c r="I212" s="4" t="str">
        <f>"43074"</f>
        <v>43074</v>
      </c>
      <c r="J212" s="4" t="s">
        <v>51</v>
      </c>
      <c r="K212" s="4" t="str">
        <f>"(M) 740-965-5882"</f>
        <v>(M) 740-965-5882</v>
      </c>
      <c r="L212" s="4" t="s">
        <v>766</v>
      </c>
      <c r="M212" s="4" t="s">
        <v>761</v>
      </c>
      <c r="N212" s="4" t="s">
        <v>764</v>
      </c>
      <c r="O212" s="4"/>
      <c r="P212" s="4" t="s">
        <v>765</v>
      </c>
      <c r="Q212" s="4" t="s">
        <v>26</v>
      </c>
      <c r="R212" s="4" t="str">
        <f>"43074"</f>
        <v>43074</v>
      </c>
      <c r="S212" s="4" t="s">
        <v>51</v>
      </c>
      <c r="T212" s="6">
        <v>44196</v>
      </c>
      <c r="U212" s="4" t="s">
        <v>29</v>
      </c>
    </row>
    <row r="213" spans="1:21" s="3" customFormat="1" ht="28.8" x14ac:dyDescent="0.3">
      <c r="A213" s="4" t="str">
        <f>"CB000FYL"</f>
        <v>CB000FYL</v>
      </c>
      <c r="B213" s="4" t="s">
        <v>767</v>
      </c>
      <c r="C213" s="4" t="s">
        <v>768</v>
      </c>
      <c r="D213" s="4" t="s">
        <v>769</v>
      </c>
      <c r="E213" s="4" t="s">
        <v>770</v>
      </c>
      <c r="F213" s="4"/>
      <c r="G213" s="4" t="s">
        <v>771</v>
      </c>
      <c r="H213" s="4" t="s">
        <v>26</v>
      </c>
      <c r="I213" s="4" t="str">
        <f>"45150"</f>
        <v>45150</v>
      </c>
      <c r="J213" s="4" t="s">
        <v>150</v>
      </c>
      <c r="K213" s="4" t="str">
        <f>"(P) 513-965-8873 (M) 513-630-8111"</f>
        <v>(P) 513-965-8873 (M) 513-630-8111</v>
      </c>
      <c r="L213" s="4" t="s">
        <v>772</v>
      </c>
      <c r="M213" s="4" t="s">
        <v>767</v>
      </c>
      <c r="N213" s="4" t="s">
        <v>770</v>
      </c>
      <c r="O213" s="4"/>
      <c r="P213" s="4" t="s">
        <v>771</v>
      </c>
      <c r="Q213" s="4" t="s">
        <v>26</v>
      </c>
      <c r="R213" s="4" t="str">
        <f>"45150"</f>
        <v>45150</v>
      </c>
      <c r="S213" s="4" t="s">
        <v>150</v>
      </c>
      <c r="T213" s="6">
        <v>44196</v>
      </c>
      <c r="U213" s="4" t="s">
        <v>29</v>
      </c>
    </row>
    <row r="214" spans="1:21" s="3" customFormat="1" x14ac:dyDescent="0.3">
      <c r="A214" s="4" t="str">
        <f>"CB000G0C"</f>
        <v>CB000G0C</v>
      </c>
      <c r="B214" s="4" t="s">
        <v>773</v>
      </c>
      <c r="C214" s="4" t="s">
        <v>146</v>
      </c>
      <c r="D214" s="4" t="s">
        <v>774</v>
      </c>
      <c r="E214" s="4" t="s">
        <v>775</v>
      </c>
      <c r="F214" s="4"/>
      <c r="G214" s="4" t="s">
        <v>137</v>
      </c>
      <c r="H214" s="4" t="s">
        <v>26</v>
      </c>
      <c r="I214" s="4" t="str">
        <f>"45822"</f>
        <v>45822</v>
      </c>
      <c r="J214" s="4" t="s">
        <v>138</v>
      </c>
      <c r="K214" s="4" t="str">
        <f>"(M) 419-852-0628"</f>
        <v>(M) 419-852-0628</v>
      </c>
      <c r="L214" s="4" t="s">
        <v>776</v>
      </c>
      <c r="M214" s="4" t="s">
        <v>773</v>
      </c>
      <c r="N214" s="4" t="s">
        <v>775</v>
      </c>
      <c r="O214" s="4"/>
      <c r="P214" s="4" t="s">
        <v>137</v>
      </c>
      <c r="Q214" s="4" t="s">
        <v>26</v>
      </c>
      <c r="R214" s="4" t="str">
        <f>"45822"</f>
        <v>45822</v>
      </c>
      <c r="S214" s="4" t="s">
        <v>138</v>
      </c>
      <c r="T214" s="6">
        <v>44196</v>
      </c>
      <c r="U214" s="4" t="s">
        <v>29</v>
      </c>
    </row>
    <row r="215" spans="1:21" s="3" customFormat="1" ht="28.8" x14ac:dyDescent="0.3">
      <c r="A215" s="4" t="str">
        <f>"CB000G1A"</f>
        <v>CB000G1A</v>
      </c>
      <c r="B215" s="4" t="s">
        <v>777</v>
      </c>
      <c r="C215" s="4" t="s">
        <v>245</v>
      </c>
      <c r="D215" s="4" t="s">
        <v>778</v>
      </c>
      <c r="E215" s="4" t="s">
        <v>779</v>
      </c>
      <c r="F215" s="4"/>
      <c r="G215" s="4" t="s">
        <v>780</v>
      </c>
      <c r="H215" s="4" t="s">
        <v>26</v>
      </c>
      <c r="I215" s="4" t="str">
        <f>"44663"</f>
        <v>44663</v>
      </c>
      <c r="J215" s="4" t="s">
        <v>424</v>
      </c>
      <c r="K215" s="4" t="str">
        <f>"(P) 330-364-7190 (M) 330-340-0437"</f>
        <v>(P) 330-364-7190 (M) 330-340-0437</v>
      </c>
      <c r="L215" s="4" t="s">
        <v>781</v>
      </c>
      <c r="M215" s="4" t="s">
        <v>777</v>
      </c>
      <c r="N215" s="4" t="s">
        <v>782</v>
      </c>
      <c r="O215" s="4"/>
      <c r="P215" s="4" t="s">
        <v>423</v>
      </c>
      <c r="Q215" s="4" t="s">
        <v>26</v>
      </c>
      <c r="R215" s="4" t="str">
        <f>"44663"</f>
        <v>44663</v>
      </c>
      <c r="S215" s="4" t="s">
        <v>424</v>
      </c>
      <c r="T215" s="6">
        <v>44196</v>
      </c>
      <c r="U215" s="4" t="s">
        <v>29</v>
      </c>
    </row>
    <row r="216" spans="1:21" s="3" customFormat="1" x14ac:dyDescent="0.3">
      <c r="A216" s="4" t="str">
        <f>"CB000G36"</f>
        <v>CB000G36</v>
      </c>
      <c r="B216" s="4" t="s">
        <v>783</v>
      </c>
      <c r="C216" s="4" t="s">
        <v>784</v>
      </c>
      <c r="D216" s="4" t="s">
        <v>785</v>
      </c>
      <c r="E216" s="4" t="s">
        <v>786</v>
      </c>
      <c r="F216" s="4"/>
      <c r="G216" s="4" t="s">
        <v>787</v>
      </c>
      <c r="H216" s="4" t="s">
        <v>26</v>
      </c>
      <c r="I216" s="4" t="str">
        <f>"43026"</f>
        <v>43026</v>
      </c>
      <c r="J216" s="4" t="s">
        <v>210</v>
      </c>
      <c r="K216" s="4" t="str">
        <f>"(M) 913-526-4278"</f>
        <v>(M) 913-526-4278</v>
      </c>
      <c r="L216" s="4" t="s">
        <v>788</v>
      </c>
      <c r="M216" s="4" t="s">
        <v>783</v>
      </c>
      <c r="N216" s="4" t="s">
        <v>786</v>
      </c>
      <c r="O216" s="4"/>
      <c r="P216" s="4" t="s">
        <v>787</v>
      </c>
      <c r="Q216" s="4" t="s">
        <v>26</v>
      </c>
      <c r="R216" s="4" t="str">
        <f>"43026"</f>
        <v>43026</v>
      </c>
      <c r="S216" s="4" t="s">
        <v>210</v>
      </c>
      <c r="T216" s="6">
        <v>44196</v>
      </c>
      <c r="U216" s="4" t="s">
        <v>29</v>
      </c>
    </row>
    <row r="217" spans="1:21" s="3" customFormat="1" ht="28.8" x14ac:dyDescent="0.3">
      <c r="A217" s="4" t="str">
        <f>"CB000JRN"</f>
        <v>CB000JRN</v>
      </c>
      <c r="B217" s="4" t="s">
        <v>1027</v>
      </c>
      <c r="C217" s="4" t="s">
        <v>1028</v>
      </c>
      <c r="D217" s="4" t="s">
        <v>1029</v>
      </c>
      <c r="E217" s="4" t="s">
        <v>1030</v>
      </c>
      <c r="F217" s="4"/>
      <c r="G217" s="4" t="s">
        <v>383</v>
      </c>
      <c r="H217" s="4" t="s">
        <v>26</v>
      </c>
      <c r="I217" s="4" t="str">
        <f>"44105"</f>
        <v>44105</v>
      </c>
      <c r="J217" s="4" t="s">
        <v>43</v>
      </c>
      <c r="K217" s="4" t="str">
        <f>"(P) 216-633-7892 (M) 216-633-7892"</f>
        <v>(P) 216-633-7892 (M) 216-633-7892</v>
      </c>
      <c r="L217" s="4" t="s">
        <v>1031</v>
      </c>
      <c r="M217" s="4" t="s">
        <v>1027</v>
      </c>
      <c r="N217" s="4" t="s">
        <v>1030</v>
      </c>
      <c r="O217" s="4"/>
      <c r="P217" s="4" t="s">
        <v>383</v>
      </c>
      <c r="Q217" s="4" t="s">
        <v>26</v>
      </c>
      <c r="R217" s="4" t="str">
        <f>"44105"</f>
        <v>44105</v>
      </c>
      <c r="S217" s="4" t="s">
        <v>43</v>
      </c>
      <c r="T217" s="6">
        <v>44196</v>
      </c>
      <c r="U217" s="4" t="s">
        <v>29</v>
      </c>
    </row>
    <row r="218" spans="1:21" s="3" customFormat="1" ht="28.8" x14ac:dyDescent="0.3">
      <c r="A218" s="4" t="str">
        <f>"CB000G52"</f>
        <v>CB000G52</v>
      </c>
      <c r="B218" s="4" t="s">
        <v>789</v>
      </c>
      <c r="C218" s="4" t="s">
        <v>276</v>
      </c>
      <c r="D218" s="4" t="s">
        <v>790</v>
      </c>
      <c r="E218" s="4" t="s">
        <v>791</v>
      </c>
      <c r="F218" s="4"/>
      <c r="G218" s="4" t="s">
        <v>792</v>
      </c>
      <c r="H218" s="4" t="s">
        <v>26</v>
      </c>
      <c r="I218" s="4" t="str">
        <f>"45698"</f>
        <v>45698</v>
      </c>
      <c r="J218" s="4" t="s">
        <v>234</v>
      </c>
      <c r="K218" s="4" t="str">
        <f>"(P) 740-596-4070 (M) 740-577-4616"</f>
        <v>(P) 740-596-4070 (M) 740-577-4616</v>
      </c>
      <c r="L218" s="4" t="s">
        <v>793</v>
      </c>
      <c r="M218" s="4" t="s">
        <v>789</v>
      </c>
      <c r="N218" s="4" t="s">
        <v>794</v>
      </c>
      <c r="O218" s="4"/>
      <c r="P218" s="4" t="s">
        <v>792</v>
      </c>
      <c r="Q218" s="4" t="s">
        <v>26</v>
      </c>
      <c r="R218" s="4" t="str">
        <f>"45698"</f>
        <v>45698</v>
      </c>
      <c r="S218" s="4" t="s">
        <v>234</v>
      </c>
      <c r="T218" s="6">
        <v>44196</v>
      </c>
      <c r="U218" s="4" t="s">
        <v>29</v>
      </c>
    </row>
    <row r="219" spans="1:21" s="3" customFormat="1" ht="28.8" x14ac:dyDescent="0.3">
      <c r="A219" s="4" t="str">
        <f>"CB000G6Z"</f>
        <v>CB000G6Z</v>
      </c>
      <c r="B219" s="4" t="s">
        <v>795</v>
      </c>
      <c r="C219" s="4" t="s">
        <v>326</v>
      </c>
      <c r="D219" s="4" t="s">
        <v>796</v>
      </c>
      <c r="E219" s="4" t="s">
        <v>797</v>
      </c>
      <c r="F219" s="4"/>
      <c r="G219" s="4" t="s">
        <v>798</v>
      </c>
      <c r="H219" s="4" t="s">
        <v>799</v>
      </c>
      <c r="I219" s="4" t="str">
        <f>"21060"</f>
        <v>21060</v>
      </c>
      <c r="J219" s="4" t="s">
        <v>800</v>
      </c>
      <c r="K219" s="4" t="str">
        <f>"(P) 248-587-7460"</f>
        <v>(P) 248-587-7460</v>
      </c>
      <c r="L219" s="4" t="s">
        <v>801</v>
      </c>
      <c r="M219" s="4" t="s">
        <v>795</v>
      </c>
      <c r="N219" s="4" t="s">
        <v>797</v>
      </c>
      <c r="O219" s="4"/>
      <c r="P219" s="4" t="s">
        <v>798</v>
      </c>
      <c r="Q219" s="4" t="s">
        <v>799</v>
      </c>
      <c r="R219" s="4" t="str">
        <f>"21060"</f>
        <v>21060</v>
      </c>
      <c r="S219" s="4" t="s">
        <v>800</v>
      </c>
      <c r="T219" s="6">
        <v>44196</v>
      </c>
      <c r="U219" s="4" t="s">
        <v>29</v>
      </c>
    </row>
    <row r="220" spans="1:21" s="3" customFormat="1" ht="28.8" x14ac:dyDescent="0.3">
      <c r="A220" s="4" t="str">
        <f>"CB000G9T"</f>
        <v>CB000G9T</v>
      </c>
      <c r="B220" s="4" t="s">
        <v>802</v>
      </c>
      <c r="C220" s="4" t="s">
        <v>575</v>
      </c>
      <c r="D220" s="4" t="s">
        <v>803</v>
      </c>
      <c r="E220" s="4" t="s">
        <v>804</v>
      </c>
      <c r="F220" s="4"/>
      <c r="G220" s="4" t="s">
        <v>805</v>
      </c>
      <c r="H220" s="4" t="s">
        <v>26</v>
      </c>
      <c r="I220" s="4" t="str">
        <f>"44134"</f>
        <v>44134</v>
      </c>
      <c r="J220" s="4" t="s">
        <v>43</v>
      </c>
      <c r="K220" s="4" t="str">
        <f>"(P) 440-885-8014 (M) 216-402-8594"</f>
        <v>(P) 440-885-8014 (M) 216-402-8594</v>
      </c>
      <c r="L220" s="4" t="s">
        <v>806</v>
      </c>
      <c r="M220" s="4" t="s">
        <v>807</v>
      </c>
      <c r="N220" s="4" t="s">
        <v>804</v>
      </c>
      <c r="O220" s="4"/>
      <c r="P220" s="4" t="s">
        <v>805</v>
      </c>
      <c r="Q220" s="4" t="s">
        <v>26</v>
      </c>
      <c r="R220" s="4" t="str">
        <f>"44134"</f>
        <v>44134</v>
      </c>
      <c r="S220" s="4" t="s">
        <v>43</v>
      </c>
      <c r="T220" s="6">
        <v>44196</v>
      </c>
      <c r="U220" s="4" t="s">
        <v>29</v>
      </c>
    </row>
    <row r="221" spans="1:21" s="3" customFormat="1" ht="28.8" x14ac:dyDescent="0.3">
      <c r="A221" s="4" t="str">
        <f>"CB001ALM"</f>
        <v>CB001ALM</v>
      </c>
      <c r="B221" s="4" t="s">
        <v>1619</v>
      </c>
      <c r="C221" s="4" t="s">
        <v>1620</v>
      </c>
      <c r="D221" s="4" t="s">
        <v>1621</v>
      </c>
      <c r="E221" s="4" t="s">
        <v>1622</v>
      </c>
      <c r="F221" s="4"/>
      <c r="G221" s="4" t="s">
        <v>583</v>
      </c>
      <c r="H221" s="4" t="s">
        <v>26</v>
      </c>
      <c r="I221" s="4" t="str">
        <f>"45417"</f>
        <v>45417</v>
      </c>
      <c r="J221" s="4" t="s">
        <v>58</v>
      </c>
      <c r="K221" s="4" t="str">
        <f>"(P) 877-955-8811 (M) 937-815-8176"</f>
        <v>(P) 877-955-8811 (M) 937-815-8176</v>
      </c>
      <c r="L221" s="4" t="s">
        <v>1623</v>
      </c>
      <c r="M221" s="4" t="s">
        <v>1619</v>
      </c>
      <c r="N221" s="4" t="s">
        <v>1622</v>
      </c>
      <c r="O221" s="4"/>
      <c r="P221" s="4" t="s">
        <v>583</v>
      </c>
      <c r="Q221" s="4" t="s">
        <v>26</v>
      </c>
      <c r="R221" s="4" t="str">
        <f>"45417"</f>
        <v>45417</v>
      </c>
      <c r="S221" s="4" t="s">
        <v>58</v>
      </c>
      <c r="T221" s="6">
        <v>44196</v>
      </c>
      <c r="U221" s="4" t="s">
        <v>29</v>
      </c>
    </row>
    <row r="222" spans="1:21" s="3" customFormat="1" ht="28.8" x14ac:dyDescent="0.3">
      <c r="A222" s="4" t="str">
        <f>"CB0013VX"</f>
        <v>CB0013VX</v>
      </c>
      <c r="B222" s="4" t="s">
        <v>1504</v>
      </c>
      <c r="C222" s="4" t="s">
        <v>1505</v>
      </c>
      <c r="D222" s="4" t="s">
        <v>1506</v>
      </c>
      <c r="E222" s="4" t="s">
        <v>1507</v>
      </c>
      <c r="F222" s="4"/>
      <c r="G222" s="4" t="s">
        <v>622</v>
      </c>
      <c r="H222" s="4" t="s">
        <v>26</v>
      </c>
      <c r="I222" s="4" t="str">
        <f>"45429"</f>
        <v>45429</v>
      </c>
      <c r="J222" s="4" t="s">
        <v>58</v>
      </c>
      <c r="K222" s="4" t="str">
        <f>"(P) 937-350-1729 (M) 740-623-4568"</f>
        <v>(P) 937-350-1729 (M) 740-623-4568</v>
      </c>
      <c r="L222" s="4" t="s">
        <v>1508</v>
      </c>
      <c r="M222" s="4" t="s">
        <v>1504</v>
      </c>
      <c r="N222" s="4" t="s">
        <v>1507</v>
      </c>
      <c r="O222" s="4"/>
      <c r="P222" s="4" t="s">
        <v>622</v>
      </c>
      <c r="Q222" s="4" t="s">
        <v>26</v>
      </c>
      <c r="R222" s="4" t="str">
        <f>"45429"</f>
        <v>45429</v>
      </c>
      <c r="S222" s="4" t="s">
        <v>58</v>
      </c>
      <c r="T222" s="6">
        <v>44196</v>
      </c>
      <c r="U222" s="4" t="s">
        <v>29</v>
      </c>
    </row>
    <row r="223" spans="1:21" s="3" customFormat="1" ht="28.8" x14ac:dyDescent="0.3">
      <c r="A223" s="4" t="str">
        <f>"CB000GBP"</f>
        <v>CB000GBP</v>
      </c>
      <c r="B223" s="4" t="s">
        <v>816</v>
      </c>
      <c r="C223" s="4" t="s">
        <v>817</v>
      </c>
      <c r="D223" s="4" t="s">
        <v>665</v>
      </c>
      <c r="E223" s="4" t="s">
        <v>818</v>
      </c>
      <c r="F223" s="4" t="s">
        <v>819</v>
      </c>
      <c r="G223" s="4" t="s">
        <v>820</v>
      </c>
      <c r="H223" s="4" t="s">
        <v>26</v>
      </c>
      <c r="I223" s="4" t="str">
        <f>"44221"</f>
        <v>44221</v>
      </c>
      <c r="J223" s="4" t="s">
        <v>217</v>
      </c>
      <c r="K223" s="4" t="str">
        <f>"(P) 330-475-8300 (F) 330-940-2340 (M) 330-620-2105"</f>
        <v>(P) 330-475-8300 (F) 330-940-2340 (M) 330-620-2105</v>
      </c>
      <c r="L223" s="4" t="s">
        <v>821</v>
      </c>
      <c r="M223" s="4" t="s">
        <v>816</v>
      </c>
      <c r="N223" s="4" t="s">
        <v>818</v>
      </c>
      <c r="O223" s="4" t="s">
        <v>819</v>
      </c>
      <c r="P223" s="4" t="s">
        <v>820</v>
      </c>
      <c r="Q223" s="4" t="s">
        <v>26</v>
      </c>
      <c r="R223" s="4" t="str">
        <f>"44221"</f>
        <v>44221</v>
      </c>
      <c r="S223" s="4" t="s">
        <v>217</v>
      </c>
      <c r="T223" s="6">
        <v>44196</v>
      </c>
      <c r="U223" s="4" t="s">
        <v>29</v>
      </c>
    </row>
    <row r="224" spans="1:21" s="3" customFormat="1" ht="28.8" x14ac:dyDescent="0.3">
      <c r="A224" s="4" t="str">
        <f>"CB000GAR"</f>
        <v>CB000GAR</v>
      </c>
      <c r="B224" s="4" t="s">
        <v>808</v>
      </c>
      <c r="C224" s="4" t="s">
        <v>809</v>
      </c>
      <c r="D224" s="4" t="s">
        <v>810</v>
      </c>
      <c r="E224" s="4" t="s">
        <v>811</v>
      </c>
      <c r="F224" s="4"/>
      <c r="G224" s="4" t="s">
        <v>812</v>
      </c>
      <c r="H224" s="4" t="s">
        <v>26</v>
      </c>
      <c r="I224" s="4" t="str">
        <f>"43976"</f>
        <v>43976</v>
      </c>
      <c r="J224" s="4" t="s">
        <v>813</v>
      </c>
      <c r="K224" s="4" t="str">
        <f>"(P) 740-932-2334 (M) 740-310-0392"</f>
        <v>(P) 740-932-2334 (M) 740-310-0392</v>
      </c>
      <c r="L224" s="4" t="s">
        <v>814</v>
      </c>
      <c r="M224" s="4" t="s">
        <v>808</v>
      </c>
      <c r="N224" s="4" t="s">
        <v>815</v>
      </c>
      <c r="O224" s="4"/>
      <c r="P224" s="4" t="s">
        <v>812</v>
      </c>
      <c r="Q224" s="4" t="s">
        <v>26</v>
      </c>
      <c r="R224" s="4" t="str">
        <f>"43976"</f>
        <v>43976</v>
      </c>
      <c r="S224" s="4" t="s">
        <v>813</v>
      </c>
      <c r="T224" s="6">
        <v>44196</v>
      </c>
      <c r="U224" s="4" t="s">
        <v>29</v>
      </c>
    </row>
    <row r="225" spans="1:21" s="3" customFormat="1" x14ac:dyDescent="0.3">
      <c r="A225" s="4" t="str">
        <f>"CB0014N8"</f>
        <v>CB0014N8</v>
      </c>
      <c r="B225" s="4" t="s">
        <v>1535</v>
      </c>
      <c r="C225" s="4" t="s">
        <v>222</v>
      </c>
      <c r="D225" s="4" t="s">
        <v>1536</v>
      </c>
      <c r="E225" s="4" t="s">
        <v>1537</v>
      </c>
      <c r="F225" s="4"/>
      <c r="G225" s="4" t="s">
        <v>1538</v>
      </c>
      <c r="H225" s="4" t="s">
        <v>26</v>
      </c>
      <c r="I225" s="4" t="str">
        <f>"44126"</f>
        <v>44126</v>
      </c>
      <c r="J225" s="4" t="s">
        <v>43</v>
      </c>
      <c r="K225" s="4" t="str">
        <f>"(M) 216-410-1652"</f>
        <v>(M) 216-410-1652</v>
      </c>
      <c r="L225" s="4" t="s">
        <v>1539</v>
      </c>
      <c r="M225" s="4" t="s">
        <v>1535</v>
      </c>
      <c r="N225" s="4" t="s">
        <v>1537</v>
      </c>
      <c r="O225" s="4"/>
      <c r="P225" s="4" t="s">
        <v>1538</v>
      </c>
      <c r="Q225" s="4" t="s">
        <v>26</v>
      </c>
      <c r="R225" s="4" t="str">
        <f>"44126"</f>
        <v>44126</v>
      </c>
      <c r="S225" s="4" t="s">
        <v>43</v>
      </c>
      <c r="T225" s="6">
        <v>44196</v>
      </c>
      <c r="U225" s="4" t="s">
        <v>29</v>
      </c>
    </row>
    <row r="226" spans="1:21" s="3" customFormat="1" x14ac:dyDescent="0.3">
      <c r="A226" s="4" t="str">
        <f>"CB001XFD"</f>
        <v>CB001XFD</v>
      </c>
      <c r="B226" s="4" t="s">
        <v>1803</v>
      </c>
      <c r="C226" s="4" t="s">
        <v>562</v>
      </c>
      <c r="D226" s="4" t="s">
        <v>1804</v>
      </c>
      <c r="E226" s="4" t="s">
        <v>1805</v>
      </c>
      <c r="F226" s="4"/>
      <c r="G226" s="4" t="s">
        <v>1067</v>
      </c>
      <c r="H226" s="4" t="s">
        <v>26</v>
      </c>
      <c r="I226" s="4" t="str">
        <f>"43004"</f>
        <v>43004</v>
      </c>
      <c r="J226" s="4" t="s">
        <v>210</v>
      </c>
      <c r="K226" s="4" t="str">
        <f>"(P) 614-309-6252"</f>
        <v>(P) 614-309-6252</v>
      </c>
      <c r="L226" s="4" t="s">
        <v>1806</v>
      </c>
      <c r="M226" s="4" t="s">
        <v>1803</v>
      </c>
      <c r="N226" s="4" t="s">
        <v>1805</v>
      </c>
      <c r="O226" s="4"/>
      <c r="P226" s="4" t="s">
        <v>1067</v>
      </c>
      <c r="Q226" s="4" t="s">
        <v>26</v>
      </c>
      <c r="R226" s="4" t="str">
        <f>"43004"</f>
        <v>43004</v>
      </c>
      <c r="S226" s="4" t="s">
        <v>210</v>
      </c>
      <c r="T226" s="6">
        <v>44196</v>
      </c>
      <c r="U226" s="4" t="s">
        <v>29</v>
      </c>
    </row>
    <row r="227" spans="1:21" s="3" customFormat="1" ht="28.8" x14ac:dyDescent="0.3">
      <c r="A227" s="4" t="str">
        <f>"CB001JW2"</f>
        <v>CB001JW2</v>
      </c>
      <c r="B227" s="4" t="s">
        <v>1794</v>
      </c>
      <c r="C227" s="4" t="s">
        <v>454</v>
      </c>
      <c r="D227" s="4" t="s">
        <v>1795</v>
      </c>
      <c r="E227" s="4" t="s">
        <v>1796</v>
      </c>
      <c r="F227" s="4"/>
      <c r="G227" s="4" t="s">
        <v>1715</v>
      </c>
      <c r="H227" s="4" t="s">
        <v>26</v>
      </c>
      <c r="I227" s="4" t="str">
        <f>"44720"</f>
        <v>44720</v>
      </c>
      <c r="J227" s="4" t="s">
        <v>98</v>
      </c>
      <c r="K227" s="4" t="str">
        <f>"(P) 330-603-6362"</f>
        <v>(P) 330-603-6362</v>
      </c>
      <c r="L227" s="4" t="s">
        <v>1797</v>
      </c>
      <c r="M227" s="4" t="s">
        <v>1794</v>
      </c>
      <c r="N227" s="4" t="s">
        <v>1796</v>
      </c>
      <c r="O227" s="4"/>
      <c r="P227" s="4" t="s">
        <v>1715</v>
      </c>
      <c r="Q227" s="4" t="s">
        <v>26</v>
      </c>
      <c r="R227" s="4" t="str">
        <f>"44720"</f>
        <v>44720</v>
      </c>
      <c r="S227" s="4" t="s">
        <v>98</v>
      </c>
      <c r="T227" s="6">
        <v>44196</v>
      </c>
      <c r="U227" s="4" t="s">
        <v>29</v>
      </c>
    </row>
    <row r="228" spans="1:21" s="3" customFormat="1" x14ac:dyDescent="0.3">
      <c r="A228" s="4" t="str">
        <f>"CB001ERW"</f>
        <v>CB001ERW</v>
      </c>
      <c r="B228" s="4" t="s">
        <v>1688</v>
      </c>
      <c r="C228" s="4" t="s">
        <v>1689</v>
      </c>
      <c r="D228" s="4" t="s">
        <v>1690</v>
      </c>
      <c r="E228" s="4" t="s">
        <v>1691</v>
      </c>
      <c r="F228" s="4"/>
      <c r="G228" s="4" t="s">
        <v>1692</v>
      </c>
      <c r="H228" s="4" t="s">
        <v>26</v>
      </c>
      <c r="I228" s="4" t="str">
        <f>"43357"</f>
        <v>43357</v>
      </c>
      <c r="J228" s="4" t="s">
        <v>1693</v>
      </c>
      <c r="K228" s="4" t="str">
        <f>"(M) 614-648-3449"</f>
        <v>(M) 614-648-3449</v>
      </c>
      <c r="L228" s="4" t="s">
        <v>1694</v>
      </c>
      <c r="M228" s="4" t="s">
        <v>1688</v>
      </c>
      <c r="N228" s="4" t="s">
        <v>1691</v>
      </c>
      <c r="O228" s="4"/>
      <c r="P228" s="4" t="s">
        <v>1692</v>
      </c>
      <c r="Q228" s="4" t="s">
        <v>26</v>
      </c>
      <c r="R228" s="4" t="str">
        <f>"43357"</f>
        <v>43357</v>
      </c>
      <c r="S228" s="4" t="s">
        <v>1693</v>
      </c>
      <c r="T228" s="6">
        <v>44196</v>
      </c>
      <c r="U228" s="4" t="s">
        <v>29</v>
      </c>
    </row>
    <row r="229" spans="1:21" s="3" customFormat="1" x14ac:dyDescent="0.3">
      <c r="A229" s="4" t="str">
        <f>"CB001BWY"</f>
        <v>CB001BWY</v>
      </c>
      <c r="B229" s="4" t="s">
        <v>1672</v>
      </c>
      <c r="C229" s="4" t="s">
        <v>94</v>
      </c>
      <c r="D229" s="4" t="s">
        <v>1673</v>
      </c>
      <c r="E229" s="4" t="s">
        <v>1674</v>
      </c>
      <c r="F229" s="4"/>
      <c r="G229" s="4" t="s">
        <v>1675</v>
      </c>
      <c r="H229" s="4" t="s">
        <v>26</v>
      </c>
      <c r="I229" s="4" t="str">
        <f>"45344"</f>
        <v>45344</v>
      </c>
      <c r="J229" s="4" t="s">
        <v>567</v>
      </c>
      <c r="K229" s="4" t="str">
        <f>"(M) 614-578-3143"</f>
        <v>(M) 614-578-3143</v>
      </c>
      <c r="L229" s="4" t="s">
        <v>1676</v>
      </c>
      <c r="M229" s="4" t="s">
        <v>1672</v>
      </c>
      <c r="N229" s="4" t="s">
        <v>1674</v>
      </c>
      <c r="O229" s="4"/>
      <c r="P229" s="4" t="s">
        <v>1675</v>
      </c>
      <c r="Q229" s="4" t="s">
        <v>26</v>
      </c>
      <c r="R229" s="4" t="str">
        <f>"45344"</f>
        <v>45344</v>
      </c>
      <c r="S229" s="4" t="s">
        <v>567</v>
      </c>
      <c r="T229" s="6">
        <v>44196</v>
      </c>
      <c r="U229" s="4" t="s">
        <v>29</v>
      </c>
    </row>
    <row r="230" spans="1:21" s="3" customFormat="1" ht="28.8" x14ac:dyDescent="0.3">
      <c r="A230" s="4" t="str">
        <f>"CB000GEH"</f>
        <v>CB000GEH</v>
      </c>
      <c r="B230" s="4" t="s">
        <v>822</v>
      </c>
      <c r="C230" s="4" t="s">
        <v>134</v>
      </c>
      <c r="D230" s="4" t="s">
        <v>823</v>
      </c>
      <c r="E230" s="4" t="s">
        <v>824</v>
      </c>
      <c r="F230" s="4"/>
      <c r="G230" s="4" t="s">
        <v>83</v>
      </c>
      <c r="H230" s="4" t="s">
        <v>26</v>
      </c>
      <c r="I230" s="4" t="str">
        <f>"43017"</f>
        <v>43017</v>
      </c>
      <c r="J230" s="4" t="s">
        <v>210</v>
      </c>
      <c r="K230" s="4" t="str">
        <f>"(P) 614-316-3487 (M) 614-560-0030"</f>
        <v>(P) 614-316-3487 (M) 614-560-0030</v>
      </c>
      <c r="L230" s="4" t="s">
        <v>825</v>
      </c>
      <c r="M230" s="4" t="s">
        <v>822</v>
      </c>
      <c r="N230" s="4" t="s">
        <v>824</v>
      </c>
      <c r="O230" s="4"/>
      <c r="P230" s="4" t="s">
        <v>83</v>
      </c>
      <c r="Q230" s="4" t="s">
        <v>26</v>
      </c>
      <c r="R230" s="4" t="str">
        <f>"43017"</f>
        <v>43017</v>
      </c>
      <c r="S230" s="4" t="s">
        <v>210</v>
      </c>
      <c r="T230" s="6">
        <v>44196</v>
      </c>
      <c r="U230" s="4" t="s">
        <v>29</v>
      </c>
    </row>
    <row r="231" spans="1:21" s="3" customFormat="1" ht="28.8" x14ac:dyDescent="0.3">
      <c r="A231" s="4" t="str">
        <f>"CB001G5T"</f>
        <v>CB001G5T</v>
      </c>
      <c r="B231" s="4" t="s">
        <v>1732</v>
      </c>
      <c r="C231" s="4" t="s">
        <v>1733</v>
      </c>
      <c r="D231" s="4" t="s">
        <v>1734</v>
      </c>
      <c r="E231" s="4" t="s">
        <v>1735</v>
      </c>
      <c r="F231" s="4"/>
      <c r="G231" s="4" t="s">
        <v>1736</v>
      </c>
      <c r="H231" s="4" t="s">
        <v>165</v>
      </c>
      <c r="I231" s="4" t="str">
        <f>"16105"</f>
        <v>16105</v>
      </c>
      <c r="J231" s="4" t="s">
        <v>976</v>
      </c>
      <c r="K231" s="4" t="str">
        <f>"(P) 724-732-7085 (F) 724-856-3911"</f>
        <v>(P) 724-732-7085 (F) 724-856-3911</v>
      </c>
      <c r="L231" s="4" t="s">
        <v>1737</v>
      </c>
      <c r="M231" s="4" t="s">
        <v>1732</v>
      </c>
      <c r="N231" s="4" t="s">
        <v>1735</v>
      </c>
      <c r="O231" s="4"/>
      <c r="P231" s="4" t="s">
        <v>1736</v>
      </c>
      <c r="Q231" s="4" t="s">
        <v>165</v>
      </c>
      <c r="R231" s="4" t="str">
        <f>"16105"</f>
        <v>16105</v>
      </c>
      <c r="S231" s="4" t="s">
        <v>976</v>
      </c>
      <c r="T231" s="6">
        <v>44196</v>
      </c>
      <c r="U231" s="4" t="s">
        <v>29</v>
      </c>
    </row>
    <row r="232" spans="1:21" s="3" customFormat="1" ht="28.8" x14ac:dyDescent="0.3">
      <c r="A232" s="4" t="str">
        <f>"CB001BR7"</f>
        <v>CB001BR7</v>
      </c>
      <c r="B232" s="4" t="s">
        <v>1667</v>
      </c>
      <c r="C232" s="4" t="s">
        <v>1668</v>
      </c>
      <c r="D232" s="4" t="s">
        <v>1669</v>
      </c>
      <c r="E232" s="4" t="s">
        <v>1359</v>
      </c>
      <c r="F232" s="4"/>
      <c r="G232" s="4" t="s">
        <v>1670</v>
      </c>
      <c r="H232" s="4" t="s">
        <v>26</v>
      </c>
      <c r="I232" s="4" t="str">
        <f>"45381"</f>
        <v>45381</v>
      </c>
      <c r="J232" s="4" t="s">
        <v>681</v>
      </c>
      <c r="K232" s="4" t="str">
        <f>"(P) 937-372-2044 (F) 937-372-2044"</f>
        <v>(P) 937-372-2044 (F) 937-372-2044</v>
      </c>
      <c r="L232" s="4" t="s">
        <v>1671</v>
      </c>
      <c r="M232" s="4" t="s">
        <v>1667</v>
      </c>
      <c r="N232" s="4" t="s">
        <v>1359</v>
      </c>
      <c r="O232" s="4"/>
      <c r="P232" s="4" t="s">
        <v>1670</v>
      </c>
      <c r="Q232" s="4" t="s">
        <v>26</v>
      </c>
      <c r="R232" s="4" t="str">
        <f>"45381"</f>
        <v>45381</v>
      </c>
      <c r="S232" s="4" t="s">
        <v>681</v>
      </c>
      <c r="T232" s="6">
        <v>44196</v>
      </c>
      <c r="U232" s="4" t="s">
        <v>29</v>
      </c>
    </row>
    <row r="233" spans="1:21" s="3" customFormat="1" x14ac:dyDescent="0.3">
      <c r="A233" s="4" t="str">
        <f>"CB000GL5"</f>
        <v>CB000GL5</v>
      </c>
      <c r="B233" s="4" t="s">
        <v>830</v>
      </c>
      <c r="C233" s="4" t="s">
        <v>587</v>
      </c>
      <c r="D233" s="4" t="s">
        <v>831</v>
      </c>
      <c r="E233" s="4" t="s">
        <v>832</v>
      </c>
      <c r="F233" s="4"/>
      <c r="G233" s="4" t="s">
        <v>554</v>
      </c>
      <c r="H233" s="4" t="s">
        <v>26</v>
      </c>
      <c r="I233" s="4" t="str">
        <f>"44052"</f>
        <v>44052</v>
      </c>
      <c r="J233" s="4" t="s">
        <v>377</v>
      </c>
      <c r="K233" s="4" t="str">
        <f>"(P) 216-469-2716"</f>
        <v>(P) 216-469-2716</v>
      </c>
      <c r="L233" s="4" t="s">
        <v>833</v>
      </c>
      <c r="M233" s="4" t="s">
        <v>830</v>
      </c>
      <c r="N233" s="4" t="s">
        <v>832</v>
      </c>
      <c r="O233" s="4"/>
      <c r="P233" s="4" t="s">
        <v>554</v>
      </c>
      <c r="Q233" s="4" t="s">
        <v>26</v>
      </c>
      <c r="R233" s="4" t="str">
        <f>"44052"</f>
        <v>44052</v>
      </c>
      <c r="S233" s="4" t="s">
        <v>377</v>
      </c>
      <c r="T233" s="6">
        <v>44196</v>
      </c>
      <c r="U233" s="4" t="s">
        <v>29</v>
      </c>
    </row>
    <row r="234" spans="1:21" s="3" customFormat="1" ht="28.8" x14ac:dyDescent="0.3">
      <c r="A234" s="4" t="str">
        <f>"CB000GK7"</f>
        <v>CB000GK7</v>
      </c>
      <c r="B234" s="4" t="s">
        <v>826</v>
      </c>
      <c r="C234" s="4" t="s">
        <v>31</v>
      </c>
      <c r="D234" s="4" t="s">
        <v>827</v>
      </c>
      <c r="E234" s="4" t="s">
        <v>828</v>
      </c>
      <c r="F234" s="4"/>
      <c r="G234" s="4" t="s">
        <v>253</v>
      </c>
      <c r="H234" s="4" t="s">
        <v>26</v>
      </c>
      <c r="I234" s="4" t="str">
        <f>"43214"</f>
        <v>43214</v>
      </c>
      <c r="J234" s="4" t="s">
        <v>210</v>
      </c>
      <c r="K234" s="4" t="str">
        <f>"(P) 614-738-2149 (F) 614-737-9940"</f>
        <v>(P) 614-738-2149 (F) 614-737-9940</v>
      </c>
      <c r="L234" s="4" t="s">
        <v>829</v>
      </c>
      <c r="M234" s="4" t="s">
        <v>826</v>
      </c>
      <c r="N234" s="4" t="s">
        <v>828</v>
      </c>
      <c r="O234" s="4"/>
      <c r="P234" s="4" t="s">
        <v>253</v>
      </c>
      <c r="Q234" s="4" t="s">
        <v>26</v>
      </c>
      <c r="R234" s="4" t="str">
        <f>"43214"</f>
        <v>43214</v>
      </c>
      <c r="S234" s="4" t="s">
        <v>210</v>
      </c>
      <c r="T234" s="6">
        <v>44196</v>
      </c>
      <c r="U234" s="4" t="s">
        <v>29</v>
      </c>
    </row>
    <row r="235" spans="1:21" s="3" customFormat="1" x14ac:dyDescent="0.3">
      <c r="A235" s="4" t="str">
        <f>"CB000GM3"</f>
        <v>CB000GM3</v>
      </c>
      <c r="B235" s="4" t="s">
        <v>834</v>
      </c>
      <c r="C235" s="4" t="s">
        <v>31</v>
      </c>
      <c r="D235" s="4" t="s">
        <v>835</v>
      </c>
      <c r="E235" s="4" t="s">
        <v>836</v>
      </c>
      <c r="F235" s="4"/>
      <c r="G235" s="4" t="s">
        <v>253</v>
      </c>
      <c r="H235" s="4" t="s">
        <v>26</v>
      </c>
      <c r="I235" s="4" t="str">
        <f>"43214"</f>
        <v>43214</v>
      </c>
      <c r="J235" s="4" t="s">
        <v>210</v>
      </c>
      <c r="K235" s="4" t="str">
        <f>"(P) 614-267-7297"</f>
        <v>(P) 614-267-7297</v>
      </c>
      <c r="L235" s="4" t="s">
        <v>837</v>
      </c>
      <c r="M235" s="4" t="s">
        <v>834</v>
      </c>
      <c r="N235" s="4" t="s">
        <v>838</v>
      </c>
      <c r="O235" s="4"/>
      <c r="P235" s="4" t="s">
        <v>253</v>
      </c>
      <c r="Q235" s="4" t="s">
        <v>26</v>
      </c>
      <c r="R235" s="4" t="str">
        <f>"43214"</f>
        <v>43214</v>
      </c>
      <c r="S235" s="4" t="s">
        <v>210</v>
      </c>
      <c r="T235" s="6">
        <v>44196</v>
      </c>
      <c r="U235" s="4" t="s">
        <v>29</v>
      </c>
    </row>
    <row r="236" spans="1:21" s="3" customFormat="1" x14ac:dyDescent="0.3">
      <c r="A236" s="4" t="str">
        <f>"CB0011QG"</f>
        <v>CB0011QG</v>
      </c>
      <c r="B236" s="4" t="s">
        <v>1461</v>
      </c>
      <c r="C236" s="4" t="s">
        <v>1462</v>
      </c>
      <c r="D236" s="4" t="s">
        <v>649</v>
      </c>
      <c r="E236" s="4" t="s">
        <v>1463</v>
      </c>
      <c r="F236" s="4"/>
      <c r="G236" s="4" t="s">
        <v>716</v>
      </c>
      <c r="H236" s="4" t="s">
        <v>26</v>
      </c>
      <c r="I236" s="4" t="str">
        <f>"44266"</f>
        <v>44266</v>
      </c>
      <c r="J236" s="4" t="s">
        <v>243</v>
      </c>
      <c r="K236" s="4" t="str">
        <f>"(M) 330-635-7484"</f>
        <v>(M) 330-635-7484</v>
      </c>
      <c r="L236" s="4" t="s">
        <v>1464</v>
      </c>
      <c r="M236" s="4" t="s">
        <v>1461</v>
      </c>
      <c r="N236" s="4" t="s">
        <v>1463</v>
      </c>
      <c r="O236" s="4"/>
      <c r="P236" s="4" t="s">
        <v>716</v>
      </c>
      <c r="Q236" s="4" t="s">
        <v>26</v>
      </c>
      <c r="R236" s="4" t="str">
        <f>"44266"</f>
        <v>44266</v>
      </c>
      <c r="S236" s="4" t="s">
        <v>243</v>
      </c>
      <c r="T236" s="6">
        <v>44196</v>
      </c>
      <c r="U236" s="4" t="s">
        <v>29</v>
      </c>
    </row>
    <row r="237" spans="1:21" s="3" customFormat="1" x14ac:dyDescent="0.3">
      <c r="A237" s="4" t="str">
        <f>"CB0018UD"</f>
        <v>CB0018UD</v>
      </c>
      <c r="B237" s="4" t="s">
        <v>1572</v>
      </c>
      <c r="C237" s="4" t="s">
        <v>386</v>
      </c>
      <c r="D237" s="4" t="s">
        <v>1573</v>
      </c>
      <c r="E237" s="4" t="s">
        <v>1574</v>
      </c>
      <c r="F237" s="4"/>
      <c r="G237" s="4" t="s">
        <v>1575</v>
      </c>
      <c r="H237" s="4" t="s">
        <v>26</v>
      </c>
      <c r="I237" s="4" t="str">
        <f>"44611"</f>
        <v>44611</v>
      </c>
      <c r="J237" s="4" t="s">
        <v>1213</v>
      </c>
      <c r="K237" s="4" t="str">
        <f>"(M) 717-271-3605"</f>
        <v>(M) 717-271-3605</v>
      </c>
      <c r="L237" s="4" t="s">
        <v>1576</v>
      </c>
      <c r="M237" s="4" t="s">
        <v>1572</v>
      </c>
      <c r="N237" s="4" t="s">
        <v>1574</v>
      </c>
      <c r="O237" s="4"/>
      <c r="P237" s="4" t="s">
        <v>1575</v>
      </c>
      <c r="Q237" s="4" t="s">
        <v>26</v>
      </c>
      <c r="R237" s="4" t="str">
        <f>"44611"</f>
        <v>44611</v>
      </c>
      <c r="S237" s="4" t="s">
        <v>1213</v>
      </c>
      <c r="T237" s="6">
        <v>44196</v>
      </c>
      <c r="U237" s="4" t="s">
        <v>29</v>
      </c>
    </row>
    <row r="238" spans="1:21" s="3" customFormat="1" x14ac:dyDescent="0.3">
      <c r="A238" s="4" t="str">
        <f>"CB000GQY"</f>
        <v>CB000GQY</v>
      </c>
      <c r="B238" s="4" t="s">
        <v>839</v>
      </c>
      <c r="C238" s="4" t="s">
        <v>840</v>
      </c>
      <c r="D238" s="4" t="s">
        <v>841</v>
      </c>
      <c r="E238" s="4" t="s">
        <v>842</v>
      </c>
      <c r="F238" s="4"/>
      <c r="G238" s="4" t="s">
        <v>357</v>
      </c>
      <c r="H238" s="4" t="s">
        <v>26</v>
      </c>
      <c r="I238" s="4" t="str">
        <f>"43635"</f>
        <v>43635</v>
      </c>
      <c r="J238" s="4" t="s">
        <v>358</v>
      </c>
      <c r="K238" s="4" t="str">
        <f>"(P) 419-841-3499"</f>
        <v>(P) 419-841-3499</v>
      </c>
      <c r="L238" s="4" t="s">
        <v>843</v>
      </c>
      <c r="M238" s="4" t="s">
        <v>839</v>
      </c>
      <c r="N238" s="4" t="s">
        <v>842</v>
      </c>
      <c r="O238" s="4"/>
      <c r="P238" s="4" t="s">
        <v>357</v>
      </c>
      <c r="Q238" s="4" t="s">
        <v>26</v>
      </c>
      <c r="R238" s="4" t="str">
        <f>"43635"</f>
        <v>43635</v>
      </c>
      <c r="S238" s="4" t="s">
        <v>358</v>
      </c>
      <c r="T238" s="6">
        <v>44196</v>
      </c>
      <c r="U238" s="4" t="s">
        <v>29</v>
      </c>
    </row>
    <row r="239" spans="1:21" s="3" customFormat="1" x14ac:dyDescent="0.3">
      <c r="A239" s="4" t="str">
        <f>"CB00221F"</f>
        <v>CB00221F</v>
      </c>
      <c r="B239" s="4" t="s">
        <v>1807</v>
      </c>
      <c r="C239" s="4" t="s">
        <v>1532</v>
      </c>
      <c r="D239" s="4" t="s">
        <v>1808</v>
      </c>
      <c r="E239" s="4" t="s">
        <v>1809</v>
      </c>
      <c r="F239" s="4"/>
      <c r="G239" s="4" t="s">
        <v>1810</v>
      </c>
      <c r="H239" s="4" t="s">
        <v>26</v>
      </c>
      <c r="I239" s="4" t="str">
        <f>"44662"</f>
        <v>44662</v>
      </c>
      <c r="J239" s="4" t="s">
        <v>98</v>
      </c>
      <c r="K239" s="4" t="str">
        <f>"(P) 330-324-2262"</f>
        <v>(P) 330-324-2262</v>
      </c>
      <c r="L239" s="4" t="s">
        <v>1811</v>
      </c>
      <c r="M239" s="4" t="s">
        <v>1807</v>
      </c>
      <c r="N239" s="4" t="s">
        <v>1809</v>
      </c>
      <c r="O239" s="4"/>
      <c r="P239" s="4" t="s">
        <v>1810</v>
      </c>
      <c r="Q239" s="4" t="s">
        <v>26</v>
      </c>
      <c r="R239" s="4" t="str">
        <f>"44662"</f>
        <v>44662</v>
      </c>
      <c r="S239" s="4" t="s">
        <v>98</v>
      </c>
      <c r="T239" s="6">
        <v>44196</v>
      </c>
      <c r="U239" s="4" t="s">
        <v>29</v>
      </c>
    </row>
    <row r="240" spans="1:21" s="3" customFormat="1" ht="28.8" x14ac:dyDescent="0.3">
      <c r="A240" s="4" t="str">
        <f>"CB000GRW"</f>
        <v>CB000GRW</v>
      </c>
      <c r="B240" s="4" t="s">
        <v>844</v>
      </c>
      <c r="C240" s="4" t="s">
        <v>206</v>
      </c>
      <c r="D240" s="4" t="s">
        <v>845</v>
      </c>
      <c r="E240" s="4" t="s">
        <v>846</v>
      </c>
      <c r="F240" s="4"/>
      <c r="G240" s="4" t="s">
        <v>370</v>
      </c>
      <c r="H240" s="4" t="s">
        <v>26</v>
      </c>
      <c r="I240" s="4" t="str">
        <f>"43065"</f>
        <v>43065</v>
      </c>
      <c r="J240" s="4" t="s">
        <v>210</v>
      </c>
      <c r="K240" s="4" t="str">
        <f>"(P) 614-354-5480"</f>
        <v>(P) 614-354-5480</v>
      </c>
      <c r="L240" s="4" t="s">
        <v>847</v>
      </c>
      <c r="M240" s="4" t="s">
        <v>844</v>
      </c>
      <c r="N240" s="4" t="s">
        <v>846</v>
      </c>
      <c r="O240" s="4"/>
      <c r="P240" s="4" t="s">
        <v>370</v>
      </c>
      <c r="Q240" s="4" t="s">
        <v>26</v>
      </c>
      <c r="R240" s="4" t="str">
        <f>"43065"</f>
        <v>43065</v>
      </c>
      <c r="S240" s="4" t="s">
        <v>210</v>
      </c>
      <c r="T240" s="6">
        <v>44196</v>
      </c>
      <c r="U240" s="4" t="s">
        <v>29</v>
      </c>
    </row>
    <row r="241" spans="1:21" s="3" customFormat="1" x14ac:dyDescent="0.3">
      <c r="A241" s="4" t="str">
        <f>"CB0029WY"</f>
        <v>CB0029WY</v>
      </c>
      <c r="B241" s="4" t="s">
        <v>1859</v>
      </c>
      <c r="C241" s="4" t="s">
        <v>1860</v>
      </c>
      <c r="D241" s="4" t="s">
        <v>1861</v>
      </c>
      <c r="E241" s="4" t="s">
        <v>1862</v>
      </c>
      <c r="F241" s="4"/>
      <c r="G241" s="4" t="s">
        <v>1863</v>
      </c>
      <c r="H241" s="4" t="s">
        <v>26</v>
      </c>
      <c r="I241" s="4" t="str">
        <f>"43080"</f>
        <v>43080</v>
      </c>
      <c r="J241" s="4" t="s">
        <v>548</v>
      </c>
      <c r="K241" s="4" t="str">
        <f>"(P) 419-481-2744"</f>
        <v>(P) 419-481-2744</v>
      </c>
      <c r="L241" s="4" t="s">
        <v>1864</v>
      </c>
      <c r="M241" s="4" t="s">
        <v>1859</v>
      </c>
      <c r="N241" s="4" t="s">
        <v>1862</v>
      </c>
      <c r="O241" s="4"/>
      <c r="P241" s="4" t="s">
        <v>1863</v>
      </c>
      <c r="Q241" s="4" t="s">
        <v>26</v>
      </c>
      <c r="R241" s="4" t="str">
        <f>"43080"</f>
        <v>43080</v>
      </c>
      <c r="S241" s="4" t="s">
        <v>548</v>
      </c>
      <c r="T241" s="6">
        <v>44196</v>
      </c>
      <c r="U241" s="4" t="s">
        <v>29</v>
      </c>
    </row>
    <row r="242" spans="1:21" s="3" customFormat="1" x14ac:dyDescent="0.3">
      <c r="A242" s="4" t="str">
        <f>"CB001F5X"</f>
        <v>CB001F5X</v>
      </c>
      <c r="B242" s="4" t="s">
        <v>1711</v>
      </c>
      <c r="C242" s="4" t="s">
        <v>1592</v>
      </c>
      <c r="D242" s="4" t="s">
        <v>659</v>
      </c>
      <c r="E242" s="4" t="s">
        <v>1712</v>
      </c>
      <c r="F242" s="4"/>
      <c r="G242" s="4" t="s">
        <v>97</v>
      </c>
      <c r="H242" s="4" t="s">
        <v>26</v>
      </c>
      <c r="I242" s="4" t="str">
        <f>"44708"</f>
        <v>44708</v>
      </c>
      <c r="J242" s="4" t="s">
        <v>98</v>
      </c>
      <c r="K242" s="4" t="str">
        <f>"(M) 330-933-7792"</f>
        <v>(M) 330-933-7792</v>
      </c>
      <c r="L242" s="4" t="s">
        <v>1713</v>
      </c>
      <c r="M242" s="4" t="s">
        <v>1711</v>
      </c>
      <c r="N242" s="4" t="s">
        <v>1714</v>
      </c>
      <c r="O242" s="4"/>
      <c r="P242" s="4" t="s">
        <v>1715</v>
      </c>
      <c r="Q242" s="4" t="s">
        <v>26</v>
      </c>
      <c r="R242" s="4" t="str">
        <f>"44720"</f>
        <v>44720</v>
      </c>
      <c r="S242" s="4" t="s">
        <v>98</v>
      </c>
      <c r="T242" s="6">
        <v>44196</v>
      </c>
      <c r="U242" s="4" t="s">
        <v>29</v>
      </c>
    </row>
    <row r="243" spans="1:21" s="3" customFormat="1" ht="28.8" x14ac:dyDescent="0.3">
      <c r="A243" s="4" t="str">
        <f>"CB000GWL"</f>
        <v>CB000GWL</v>
      </c>
      <c r="B243" s="4" t="s">
        <v>848</v>
      </c>
      <c r="C243" s="4" t="s">
        <v>386</v>
      </c>
      <c r="D243" s="4" t="s">
        <v>849</v>
      </c>
      <c r="E243" s="4" t="s">
        <v>850</v>
      </c>
      <c r="F243" s="4"/>
      <c r="G243" s="4" t="s">
        <v>583</v>
      </c>
      <c r="H243" s="4" t="s">
        <v>26</v>
      </c>
      <c r="I243" s="4" t="str">
        <f>"45429"</f>
        <v>45429</v>
      </c>
      <c r="J243" s="4" t="s">
        <v>58</v>
      </c>
      <c r="K243" s="4" t="str">
        <f>"(P) 937-567-1221 (M) 937-776-9532"</f>
        <v>(P) 937-567-1221 (M) 937-776-9532</v>
      </c>
      <c r="L243" s="4" t="s">
        <v>851</v>
      </c>
      <c r="M243" s="4" t="s">
        <v>848</v>
      </c>
      <c r="N243" s="4" t="s">
        <v>850</v>
      </c>
      <c r="O243" s="4"/>
      <c r="P243" s="4" t="s">
        <v>583</v>
      </c>
      <c r="Q243" s="4" t="s">
        <v>26</v>
      </c>
      <c r="R243" s="4" t="str">
        <f>"45429"</f>
        <v>45429</v>
      </c>
      <c r="S243" s="4" t="s">
        <v>58</v>
      </c>
      <c r="T243" s="6">
        <v>44196</v>
      </c>
      <c r="U243" s="4" t="s">
        <v>29</v>
      </c>
    </row>
    <row r="244" spans="1:21" s="3" customFormat="1" ht="28.8" x14ac:dyDescent="0.3">
      <c r="A244" s="4" t="str">
        <f>"CB000GXJ"</f>
        <v>CB000GXJ</v>
      </c>
      <c r="B244" s="4" t="s">
        <v>852</v>
      </c>
      <c r="C244" s="4" t="s">
        <v>853</v>
      </c>
      <c r="D244" s="4" t="s">
        <v>854</v>
      </c>
      <c r="E244" s="4" t="s">
        <v>855</v>
      </c>
      <c r="F244" s="4"/>
      <c r="G244" s="4" t="s">
        <v>856</v>
      </c>
      <c r="H244" s="4" t="s">
        <v>26</v>
      </c>
      <c r="I244" s="4" t="str">
        <f>"45305"</f>
        <v>45305</v>
      </c>
      <c r="J244" s="4" t="s">
        <v>681</v>
      </c>
      <c r="K244" s="4" t="str">
        <f>"(P) 866-841-9137 Extn 1233 (M) 937-475-0225"</f>
        <v>(P) 866-841-9137 Extn 1233 (M) 937-475-0225</v>
      </c>
      <c r="L244" s="4" t="s">
        <v>857</v>
      </c>
      <c r="M244" s="4" t="s">
        <v>852</v>
      </c>
      <c r="N244" s="4" t="s">
        <v>858</v>
      </c>
      <c r="O244" s="4"/>
      <c r="P244" s="4" t="s">
        <v>179</v>
      </c>
      <c r="Q244" s="4" t="s">
        <v>26</v>
      </c>
      <c r="R244" s="4" t="str">
        <f>"43140"</f>
        <v>43140</v>
      </c>
      <c r="S244" s="4" t="s">
        <v>180</v>
      </c>
      <c r="T244" s="6">
        <v>44196</v>
      </c>
      <c r="U244" s="4" t="s">
        <v>29</v>
      </c>
    </row>
    <row r="245" spans="1:21" s="3" customFormat="1" ht="28.8" x14ac:dyDescent="0.3">
      <c r="A245" s="4" t="str">
        <f>"CB000GYG"</f>
        <v>CB000GYG</v>
      </c>
      <c r="B245" s="4" t="s">
        <v>859</v>
      </c>
      <c r="C245" s="4" t="s">
        <v>497</v>
      </c>
      <c r="D245" s="4" t="s">
        <v>860</v>
      </c>
      <c r="E245" s="4" t="s">
        <v>861</v>
      </c>
      <c r="F245" s="4"/>
      <c r="G245" s="4" t="s">
        <v>862</v>
      </c>
      <c r="H245" s="4" t="s">
        <v>26</v>
      </c>
      <c r="I245" s="4" t="str">
        <f>"44302"</f>
        <v>44302</v>
      </c>
      <c r="J245" s="4" t="s">
        <v>217</v>
      </c>
      <c r="K245" s="4" t="str">
        <f>"(P) 330-208-5250"</f>
        <v>(P) 330-208-5250</v>
      </c>
      <c r="L245" s="4" t="s">
        <v>863</v>
      </c>
      <c r="M245" s="4" t="s">
        <v>859</v>
      </c>
      <c r="N245" s="4" t="s">
        <v>861</v>
      </c>
      <c r="O245" s="4"/>
      <c r="P245" s="4" t="s">
        <v>862</v>
      </c>
      <c r="Q245" s="4" t="s">
        <v>26</v>
      </c>
      <c r="R245" s="4" t="str">
        <f>"44302"</f>
        <v>44302</v>
      </c>
      <c r="S245" s="4" t="s">
        <v>217</v>
      </c>
      <c r="T245" s="6">
        <v>44196</v>
      </c>
      <c r="U245" s="4" t="s">
        <v>29</v>
      </c>
    </row>
    <row r="246" spans="1:21" s="3" customFormat="1" x14ac:dyDescent="0.3">
      <c r="A246" s="4" t="str">
        <f>"CB000MNE"</f>
        <v>CB000MNE</v>
      </c>
      <c r="B246" s="4" t="s">
        <v>1267</v>
      </c>
      <c r="C246" s="4" t="s">
        <v>1268</v>
      </c>
      <c r="D246" s="4" t="s">
        <v>1269</v>
      </c>
      <c r="E246" s="4" t="s">
        <v>1270</v>
      </c>
      <c r="F246" s="4"/>
      <c r="G246" s="4" t="s">
        <v>1271</v>
      </c>
      <c r="H246" s="4" t="s">
        <v>26</v>
      </c>
      <c r="I246" s="4" t="str">
        <f>"45848"</f>
        <v>45848</v>
      </c>
      <c r="J246" s="4" t="s">
        <v>1272</v>
      </c>
      <c r="K246" s="4" t="str">
        <f>"(M) 419-615-7428"</f>
        <v>(M) 419-615-7428</v>
      </c>
      <c r="L246" s="4" t="s">
        <v>1273</v>
      </c>
      <c r="M246" s="4" t="s">
        <v>1267</v>
      </c>
      <c r="N246" s="4" t="s">
        <v>1270</v>
      </c>
      <c r="O246" s="4"/>
      <c r="P246" s="4" t="s">
        <v>1271</v>
      </c>
      <c r="Q246" s="4" t="s">
        <v>26</v>
      </c>
      <c r="R246" s="4" t="str">
        <f>"45848"</f>
        <v>45848</v>
      </c>
      <c r="S246" s="4" t="s">
        <v>1272</v>
      </c>
      <c r="T246" s="6">
        <v>44196</v>
      </c>
      <c r="U246" s="4" t="s">
        <v>29</v>
      </c>
    </row>
    <row r="247" spans="1:21" s="3" customFormat="1" x14ac:dyDescent="0.3">
      <c r="A247" s="4" t="str">
        <f>"CB000H08"</f>
        <v>CB000H08</v>
      </c>
      <c r="B247" s="4" t="s">
        <v>864</v>
      </c>
      <c r="C247" s="4" t="s">
        <v>865</v>
      </c>
      <c r="D247" s="4" t="s">
        <v>866</v>
      </c>
      <c r="E247" s="4" t="s">
        <v>867</v>
      </c>
      <c r="F247" s="4"/>
      <c r="G247" s="4" t="s">
        <v>868</v>
      </c>
      <c r="H247" s="4" t="s">
        <v>26</v>
      </c>
      <c r="I247" s="4" t="str">
        <f>"44866"</f>
        <v>44866</v>
      </c>
      <c r="J247" s="4" t="s">
        <v>616</v>
      </c>
      <c r="K247" s="4" t="str">
        <f>"(M) 440-567-5236"</f>
        <v>(M) 440-567-5236</v>
      </c>
      <c r="L247" s="4" t="s">
        <v>869</v>
      </c>
      <c r="M247" s="4" t="s">
        <v>864</v>
      </c>
      <c r="N247" s="4" t="s">
        <v>867</v>
      </c>
      <c r="O247" s="4"/>
      <c r="P247" s="4" t="s">
        <v>868</v>
      </c>
      <c r="Q247" s="4" t="s">
        <v>26</v>
      </c>
      <c r="R247" s="4" t="str">
        <f>"44866"</f>
        <v>44866</v>
      </c>
      <c r="S247" s="4" t="s">
        <v>616</v>
      </c>
      <c r="T247" s="6">
        <v>44196</v>
      </c>
      <c r="U247" s="4" t="s">
        <v>29</v>
      </c>
    </row>
    <row r="248" spans="1:21" s="3" customFormat="1" ht="28.8" x14ac:dyDescent="0.3">
      <c r="A248" s="4" t="str">
        <f>"CB000UQF"</f>
        <v>CB000UQF</v>
      </c>
      <c r="B248" s="4" t="s">
        <v>1426</v>
      </c>
      <c r="C248" s="4" t="s">
        <v>1427</v>
      </c>
      <c r="D248" s="4" t="s">
        <v>1428</v>
      </c>
      <c r="E248" s="4" t="s">
        <v>1429</v>
      </c>
      <c r="F248" s="4"/>
      <c r="G248" s="4" t="s">
        <v>1430</v>
      </c>
      <c r="H248" s="4" t="s">
        <v>1431</v>
      </c>
      <c r="I248" s="4" t="str">
        <f>"P5E1R2"</f>
        <v>P5E1R2</v>
      </c>
      <c r="J248" s="4" t="s">
        <v>1432</v>
      </c>
      <c r="K248" s="4" t="str">
        <f>"(P) 705-869-0389 (F) 705-583-3004 (M) 705-207-5467"</f>
        <v>(P) 705-869-0389 (F) 705-583-3004 (M) 705-207-5467</v>
      </c>
      <c r="L248" s="4" t="s">
        <v>1433</v>
      </c>
      <c r="M248" s="4" t="s">
        <v>1426</v>
      </c>
      <c r="N248" s="4" t="s">
        <v>1429</v>
      </c>
      <c r="O248" s="4"/>
      <c r="P248" s="4" t="s">
        <v>1430</v>
      </c>
      <c r="Q248" s="4" t="s">
        <v>1431</v>
      </c>
      <c r="R248" s="4" t="str">
        <f>"P5E1R2"</f>
        <v>P5E1R2</v>
      </c>
      <c r="S248" s="4" t="s">
        <v>1432</v>
      </c>
      <c r="T248" s="6">
        <v>44196</v>
      </c>
      <c r="U248" s="4" t="s">
        <v>29</v>
      </c>
    </row>
    <row r="249" spans="1:21" s="3" customFormat="1" ht="28.8" x14ac:dyDescent="0.3">
      <c r="A249" s="4" t="str">
        <f>"CB000H16"</f>
        <v>CB000H16</v>
      </c>
      <c r="B249" s="4" t="s">
        <v>870</v>
      </c>
      <c r="C249" s="4" t="s">
        <v>769</v>
      </c>
      <c r="D249" s="4" t="s">
        <v>871</v>
      </c>
      <c r="E249" s="4" t="s">
        <v>872</v>
      </c>
      <c r="F249" s="4"/>
      <c r="G249" s="4" t="s">
        <v>472</v>
      </c>
      <c r="H249" s="4" t="s">
        <v>26</v>
      </c>
      <c r="I249" s="4" t="str">
        <f>"45212"</f>
        <v>45212</v>
      </c>
      <c r="J249" s="4" t="s">
        <v>473</v>
      </c>
      <c r="K249" s="4" t="str">
        <f>"(P) 513-275-5842 (F) 513-275-5842"</f>
        <v>(P) 513-275-5842 (F) 513-275-5842</v>
      </c>
      <c r="L249" s="4" t="s">
        <v>873</v>
      </c>
      <c r="M249" s="4" t="s">
        <v>870</v>
      </c>
      <c r="N249" s="4" t="s">
        <v>872</v>
      </c>
      <c r="O249" s="4"/>
      <c r="P249" s="4" t="s">
        <v>472</v>
      </c>
      <c r="Q249" s="4" t="s">
        <v>26</v>
      </c>
      <c r="R249" s="4" t="str">
        <f>"45212"</f>
        <v>45212</v>
      </c>
      <c r="S249" s="4" t="s">
        <v>473</v>
      </c>
      <c r="T249" s="6">
        <v>44196</v>
      </c>
      <c r="U249" s="4" t="s">
        <v>29</v>
      </c>
    </row>
    <row r="250" spans="1:21" s="3" customFormat="1" ht="28.8" x14ac:dyDescent="0.3">
      <c r="A250" s="4" t="str">
        <f>"CB000H32"</f>
        <v>CB000H32</v>
      </c>
      <c r="B250" s="4" t="s">
        <v>874</v>
      </c>
      <c r="C250" s="4" t="s">
        <v>875</v>
      </c>
      <c r="D250" s="4" t="s">
        <v>876</v>
      </c>
      <c r="E250" s="4" t="s">
        <v>877</v>
      </c>
      <c r="F250" s="4"/>
      <c r="G250" s="4" t="s">
        <v>402</v>
      </c>
      <c r="H250" s="4" t="s">
        <v>26</v>
      </c>
      <c r="I250" s="4" t="str">
        <f>"44136"</f>
        <v>44136</v>
      </c>
      <c r="J250" s="4" t="s">
        <v>43</v>
      </c>
      <c r="K250" s="4" t="str">
        <f>"(F) 330-319-6677 (M) 330-241-0439"</f>
        <v>(F) 330-319-6677 (M) 330-241-0439</v>
      </c>
      <c r="L250" s="4" t="s">
        <v>878</v>
      </c>
      <c r="M250" s="4" t="s">
        <v>874</v>
      </c>
      <c r="N250" s="4" t="s">
        <v>877</v>
      </c>
      <c r="O250" s="4"/>
      <c r="P250" s="4" t="s">
        <v>402</v>
      </c>
      <c r="Q250" s="4" t="s">
        <v>26</v>
      </c>
      <c r="R250" s="4" t="str">
        <f>"44136"</f>
        <v>44136</v>
      </c>
      <c r="S250" s="4" t="s">
        <v>43</v>
      </c>
      <c r="T250" s="6">
        <v>44196</v>
      </c>
      <c r="U250" s="4" t="s">
        <v>29</v>
      </c>
    </row>
    <row r="251" spans="1:21" s="3" customFormat="1" x14ac:dyDescent="0.3">
      <c r="A251" s="4" t="str">
        <f>"CB000R8S"</f>
        <v>CB000R8S</v>
      </c>
      <c r="B251" s="4" t="s">
        <v>1364</v>
      </c>
      <c r="C251" s="4" t="s">
        <v>1365</v>
      </c>
      <c r="D251" s="4" t="s">
        <v>1366</v>
      </c>
      <c r="E251" s="4" t="s">
        <v>1367</v>
      </c>
      <c r="F251" s="4"/>
      <c r="G251" s="4" t="s">
        <v>279</v>
      </c>
      <c r="H251" s="4" t="s">
        <v>26</v>
      </c>
      <c r="I251" s="4" t="str">
        <f>"43054"</f>
        <v>43054</v>
      </c>
      <c r="J251" s="4" t="s">
        <v>210</v>
      </c>
      <c r="K251" s="4" t="str">
        <f>"(M) 614-571-6985"</f>
        <v>(M) 614-571-6985</v>
      </c>
      <c r="L251" s="4" t="s">
        <v>1368</v>
      </c>
      <c r="M251" s="4" t="s">
        <v>1364</v>
      </c>
      <c r="N251" s="4" t="s">
        <v>1367</v>
      </c>
      <c r="O251" s="4"/>
      <c r="P251" s="4" t="s">
        <v>279</v>
      </c>
      <c r="Q251" s="4" t="s">
        <v>26</v>
      </c>
      <c r="R251" s="4" t="str">
        <f>"43054"</f>
        <v>43054</v>
      </c>
      <c r="S251" s="4" t="s">
        <v>210</v>
      </c>
      <c r="T251" s="6">
        <v>44196</v>
      </c>
      <c r="U251" s="4" t="s">
        <v>29</v>
      </c>
    </row>
    <row r="252" spans="1:21" s="3" customFormat="1" ht="28.8" x14ac:dyDescent="0.3">
      <c r="A252" s="4" t="str">
        <f>"CB000JUG"</f>
        <v>CB000JUG</v>
      </c>
      <c r="B252" s="4" t="s">
        <v>1041</v>
      </c>
      <c r="C252" s="4" t="s">
        <v>1042</v>
      </c>
      <c r="D252" s="4" t="s">
        <v>1043</v>
      </c>
      <c r="E252" s="4" t="s">
        <v>1044</v>
      </c>
      <c r="F252" s="4"/>
      <c r="G252" s="4" t="s">
        <v>1045</v>
      </c>
      <c r="H252" s="4" t="s">
        <v>26</v>
      </c>
      <c r="I252" s="4" t="str">
        <f>"44028"</f>
        <v>44028</v>
      </c>
      <c r="J252" s="4" t="s">
        <v>377</v>
      </c>
      <c r="K252" s="4" t="str">
        <f>"(P) 216-785-9635 (M) 216-556-1100"</f>
        <v>(P) 216-785-9635 (M) 216-556-1100</v>
      </c>
      <c r="L252" s="4" t="s">
        <v>1046</v>
      </c>
      <c r="M252" s="4" t="s">
        <v>1041</v>
      </c>
      <c r="N252" s="4" t="s">
        <v>1044</v>
      </c>
      <c r="O252" s="4"/>
      <c r="P252" s="4" t="s">
        <v>1045</v>
      </c>
      <c r="Q252" s="4" t="s">
        <v>26</v>
      </c>
      <c r="R252" s="4" t="str">
        <f>"44028"</f>
        <v>44028</v>
      </c>
      <c r="S252" s="4" t="s">
        <v>377</v>
      </c>
      <c r="T252" s="6">
        <v>44196</v>
      </c>
      <c r="U252" s="4" t="s">
        <v>29</v>
      </c>
    </row>
    <row r="253" spans="1:21" s="3" customFormat="1" ht="28.8" x14ac:dyDescent="0.3">
      <c r="A253" s="4" t="str">
        <f>"CB000Q8W"</f>
        <v>CB000Q8W</v>
      </c>
      <c r="B253" s="4" t="s">
        <v>1343</v>
      </c>
      <c r="C253" s="4" t="s">
        <v>1344</v>
      </c>
      <c r="D253" s="4" t="s">
        <v>1345</v>
      </c>
      <c r="E253" s="4" t="s">
        <v>1346</v>
      </c>
      <c r="F253" s="4"/>
      <c r="G253" s="4" t="s">
        <v>472</v>
      </c>
      <c r="H253" s="4" t="s">
        <v>26</v>
      </c>
      <c r="I253" s="4" t="str">
        <f>"45295"</f>
        <v>45295</v>
      </c>
      <c r="J253" s="4" t="s">
        <v>150</v>
      </c>
      <c r="K253" s="4" t="str">
        <f>"(P) 513-252-1311 (M) 513-652-2861"</f>
        <v>(P) 513-252-1311 (M) 513-652-2861</v>
      </c>
      <c r="L253" s="4" t="s">
        <v>1347</v>
      </c>
      <c r="M253" s="4" t="s">
        <v>1343</v>
      </c>
      <c r="N253" s="4" t="s">
        <v>1346</v>
      </c>
      <c r="O253" s="4"/>
      <c r="P253" s="4" t="s">
        <v>472</v>
      </c>
      <c r="Q253" s="4" t="s">
        <v>26</v>
      </c>
      <c r="R253" s="4" t="str">
        <f>"45295"</f>
        <v>45295</v>
      </c>
      <c r="S253" s="4" t="s">
        <v>150</v>
      </c>
      <c r="T253" s="6">
        <v>44196</v>
      </c>
      <c r="U253" s="4" t="s">
        <v>29</v>
      </c>
    </row>
    <row r="254" spans="1:21" s="3" customFormat="1" x14ac:dyDescent="0.3">
      <c r="A254" s="4" t="str">
        <f>"CB000H7T"</f>
        <v>CB000H7T</v>
      </c>
      <c r="B254" s="4" t="s">
        <v>879</v>
      </c>
      <c r="C254" s="4" t="s">
        <v>880</v>
      </c>
      <c r="D254" s="4" t="s">
        <v>881</v>
      </c>
      <c r="E254" s="4" t="s">
        <v>882</v>
      </c>
      <c r="F254" s="4"/>
      <c r="G254" s="4" t="s">
        <v>883</v>
      </c>
      <c r="H254" s="4" t="s">
        <v>26</v>
      </c>
      <c r="I254" s="4" t="str">
        <f>"44272"</f>
        <v>44272</v>
      </c>
      <c r="J254" s="4" t="s">
        <v>243</v>
      </c>
      <c r="K254" s="4" t="str">
        <f>"(M) 330-697-9585"</f>
        <v>(M) 330-697-9585</v>
      </c>
      <c r="L254" s="4" t="s">
        <v>884</v>
      </c>
      <c r="M254" s="4" t="s">
        <v>879</v>
      </c>
      <c r="N254" s="4" t="s">
        <v>882</v>
      </c>
      <c r="O254" s="4"/>
      <c r="P254" s="4" t="s">
        <v>883</v>
      </c>
      <c r="Q254" s="4" t="s">
        <v>26</v>
      </c>
      <c r="R254" s="4" t="str">
        <f>"44272"</f>
        <v>44272</v>
      </c>
      <c r="S254" s="4" t="s">
        <v>243</v>
      </c>
      <c r="T254" s="6">
        <v>44196</v>
      </c>
      <c r="U254" s="4" t="s">
        <v>29</v>
      </c>
    </row>
    <row r="255" spans="1:21" s="3" customFormat="1" ht="28.8" x14ac:dyDescent="0.3">
      <c r="A255" s="4" t="str">
        <f>"CB002BFK"</f>
        <v>CB002BFK</v>
      </c>
      <c r="B255" s="4" t="s">
        <v>1918</v>
      </c>
      <c r="C255" s="4" t="s">
        <v>1919</v>
      </c>
      <c r="D255" s="4" t="s">
        <v>1920</v>
      </c>
      <c r="E255" s="4" t="s">
        <v>1921</v>
      </c>
      <c r="F255" s="4"/>
      <c r="G255" s="4" t="s">
        <v>1922</v>
      </c>
      <c r="H255" s="4" t="s">
        <v>26</v>
      </c>
      <c r="I255" s="4" t="str">
        <f>"43749"</f>
        <v>43749</v>
      </c>
      <c r="J255" s="4" t="s">
        <v>1923</v>
      </c>
      <c r="K255" s="4" t="str">
        <f>"(P) 740-630-0013 (M) 740-228-2793"</f>
        <v>(P) 740-630-0013 (M) 740-228-2793</v>
      </c>
      <c r="L255" s="4" t="s">
        <v>1924</v>
      </c>
      <c r="M255" s="4" t="s">
        <v>1918</v>
      </c>
      <c r="N255" s="4" t="s">
        <v>1921</v>
      </c>
      <c r="O255" s="4"/>
      <c r="P255" s="4" t="s">
        <v>1922</v>
      </c>
      <c r="Q255" s="4" t="s">
        <v>26</v>
      </c>
      <c r="R255" s="4" t="str">
        <f>"43749"</f>
        <v>43749</v>
      </c>
      <c r="S255" s="4" t="s">
        <v>1923</v>
      </c>
      <c r="T255" s="6">
        <v>44196</v>
      </c>
      <c r="U255" s="4" t="s">
        <v>29</v>
      </c>
    </row>
    <row r="256" spans="1:21" s="3" customFormat="1" x14ac:dyDescent="0.3">
      <c r="A256" s="4" t="str">
        <f>"CB000PSX"</f>
        <v>CB000PSX</v>
      </c>
      <c r="B256" s="4" t="s">
        <v>1332</v>
      </c>
      <c r="C256" s="4" t="s">
        <v>1333</v>
      </c>
      <c r="D256" s="4" t="s">
        <v>1334</v>
      </c>
      <c r="E256" s="4" t="s">
        <v>1335</v>
      </c>
      <c r="F256" s="4"/>
      <c r="G256" s="4" t="s">
        <v>1336</v>
      </c>
      <c r="H256" s="4" t="s">
        <v>26</v>
      </c>
      <c r="I256" s="4" t="str">
        <f>"44131"</f>
        <v>44131</v>
      </c>
      <c r="J256" s="4" t="s">
        <v>43</v>
      </c>
      <c r="K256" s="4" t="str">
        <f>"(P) 216-307-7833"</f>
        <v>(P) 216-307-7833</v>
      </c>
      <c r="L256" s="4" t="s">
        <v>1337</v>
      </c>
      <c r="M256" s="4" t="s">
        <v>1332</v>
      </c>
      <c r="N256" s="4" t="s">
        <v>1335</v>
      </c>
      <c r="O256" s="4"/>
      <c r="P256" s="4" t="s">
        <v>1336</v>
      </c>
      <c r="Q256" s="4" t="s">
        <v>26</v>
      </c>
      <c r="R256" s="4" t="str">
        <f>"44131"</f>
        <v>44131</v>
      </c>
      <c r="S256" s="4" t="s">
        <v>43</v>
      </c>
      <c r="T256" s="6">
        <v>44196</v>
      </c>
      <c r="U256" s="4" t="s">
        <v>29</v>
      </c>
    </row>
    <row r="257" spans="1:21" s="3" customFormat="1" x14ac:dyDescent="0.3">
      <c r="A257" s="4" t="str">
        <f>"CB000KUA"</f>
        <v>CB000KUA</v>
      </c>
      <c r="B257" s="4" t="s">
        <v>1120</v>
      </c>
      <c r="C257" s="4" t="s">
        <v>551</v>
      </c>
      <c r="D257" s="4" t="s">
        <v>1121</v>
      </c>
      <c r="E257" s="4" t="s">
        <v>1122</v>
      </c>
      <c r="F257" s="4"/>
      <c r="G257" s="4" t="s">
        <v>583</v>
      </c>
      <c r="H257" s="4" t="s">
        <v>26</v>
      </c>
      <c r="I257" s="4" t="str">
        <f>"45414"</f>
        <v>45414</v>
      </c>
      <c r="J257" s="4" t="s">
        <v>58</v>
      </c>
      <c r="K257" s="4" t="str">
        <f>"(M) 937-321-9418"</f>
        <v>(M) 937-321-9418</v>
      </c>
      <c r="L257" s="4" t="s">
        <v>1123</v>
      </c>
      <c r="M257" s="4" t="s">
        <v>1120</v>
      </c>
      <c r="N257" s="4" t="s">
        <v>1122</v>
      </c>
      <c r="O257" s="4"/>
      <c r="P257" s="4" t="s">
        <v>583</v>
      </c>
      <c r="Q257" s="4" t="s">
        <v>26</v>
      </c>
      <c r="R257" s="4" t="str">
        <f>"45414"</f>
        <v>45414</v>
      </c>
      <c r="S257" s="4" t="s">
        <v>58</v>
      </c>
      <c r="T257" s="6">
        <v>44196</v>
      </c>
      <c r="U257" s="4" t="s">
        <v>29</v>
      </c>
    </row>
    <row r="258" spans="1:21" s="3" customFormat="1" ht="28.8" x14ac:dyDescent="0.3">
      <c r="A258" s="4" t="str">
        <f>"CB000PM8"</f>
        <v>CB000PM8</v>
      </c>
      <c r="B258" s="4" t="s">
        <v>1327</v>
      </c>
      <c r="C258" s="4" t="s">
        <v>1182</v>
      </c>
      <c r="D258" s="4" t="s">
        <v>1328</v>
      </c>
      <c r="E258" s="4" t="s">
        <v>1329</v>
      </c>
      <c r="F258" s="4"/>
      <c r="G258" s="4" t="s">
        <v>1330</v>
      </c>
      <c r="H258" s="4" t="s">
        <v>26</v>
      </c>
      <c r="I258" s="4" t="str">
        <f>"45697"</f>
        <v>45697</v>
      </c>
      <c r="J258" s="4" t="s">
        <v>1227</v>
      </c>
      <c r="K258" s="4" t="str">
        <f>"(M) 937-779-2042"</f>
        <v>(M) 937-779-2042</v>
      </c>
      <c r="L258" s="4" t="s">
        <v>1331</v>
      </c>
      <c r="M258" s="4" t="s">
        <v>1327</v>
      </c>
      <c r="N258" s="4" t="s">
        <v>1329</v>
      </c>
      <c r="O258" s="4"/>
      <c r="P258" s="4" t="s">
        <v>1330</v>
      </c>
      <c r="Q258" s="4" t="s">
        <v>26</v>
      </c>
      <c r="R258" s="4" t="str">
        <f>"45697"</f>
        <v>45697</v>
      </c>
      <c r="S258" s="4" t="s">
        <v>1227</v>
      </c>
      <c r="T258" s="6">
        <v>44196</v>
      </c>
      <c r="U258" s="4" t="s">
        <v>29</v>
      </c>
    </row>
    <row r="259" spans="1:21" s="3" customFormat="1" ht="28.8" x14ac:dyDescent="0.3">
      <c r="A259" s="4" t="str">
        <f>"CB000HBK"</f>
        <v>CB000HBK</v>
      </c>
      <c r="B259" s="4" t="s">
        <v>885</v>
      </c>
      <c r="C259" s="4" t="s">
        <v>886</v>
      </c>
      <c r="D259" s="4" t="s">
        <v>887</v>
      </c>
      <c r="E259" s="4" t="s">
        <v>888</v>
      </c>
      <c r="F259" s="4"/>
      <c r="G259" s="4" t="s">
        <v>889</v>
      </c>
      <c r="H259" s="4" t="s">
        <v>26</v>
      </c>
      <c r="I259" s="4" t="str">
        <f>"43452"</f>
        <v>43452</v>
      </c>
      <c r="J259" s="4" t="s">
        <v>890</v>
      </c>
      <c r="K259" s="4" t="str">
        <f>"(P) 419-732-4502 (M) 419-967-0847"</f>
        <v>(P) 419-732-4502 (M) 419-967-0847</v>
      </c>
      <c r="L259" s="4" t="s">
        <v>891</v>
      </c>
      <c r="M259" s="4" t="s">
        <v>885</v>
      </c>
      <c r="N259" s="4" t="s">
        <v>888</v>
      </c>
      <c r="O259" s="4"/>
      <c r="P259" s="4" t="s">
        <v>889</v>
      </c>
      <c r="Q259" s="4" t="s">
        <v>26</v>
      </c>
      <c r="R259" s="4" t="str">
        <f>"43452"</f>
        <v>43452</v>
      </c>
      <c r="S259" s="4" t="s">
        <v>890</v>
      </c>
      <c r="T259" s="6">
        <v>44196</v>
      </c>
      <c r="U259" s="4" t="s">
        <v>29</v>
      </c>
    </row>
    <row r="260" spans="1:21" s="3" customFormat="1" ht="28.8" x14ac:dyDescent="0.3">
      <c r="A260" s="4" t="str">
        <f>"CB000T9G"</f>
        <v>CB000T9G</v>
      </c>
      <c r="B260" s="4" t="s">
        <v>1404</v>
      </c>
      <c r="C260" s="4" t="s">
        <v>117</v>
      </c>
      <c r="D260" s="4" t="s">
        <v>1405</v>
      </c>
      <c r="E260" s="4" t="s">
        <v>1406</v>
      </c>
      <c r="F260" s="4"/>
      <c r="G260" s="4" t="s">
        <v>1407</v>
      </c>
      <c r="H260" s="4" t="s">
        <v>26</v>
      </c>
      <c r="I260" s="4" t="str">
        <f>"44089"</f>
        <v>44089</v>
      </c>
      <c r="J260" s="4" t="s">
        <v>193</v>
      </c>
      <c r="K260" s="4" t="str">
        <f>"(M) 440-897-2662"</f>
        <v>(M) 440-897-2662</v>
      </c>
      <c r="L260" s="4" t="s">
        <v>1408</v>
      </c>
      <c r="M260" s="4" t="s">
        <v>1404</v>
      </c>
      <c r="N260" s="4" t="s">
        <v>1406</v>
      </c>
      <c r="O260" s="4"/>
      <c r="P260" s="4" t="s">
        <v>1407</v>
      </c>
      <c r="Q260" s="4" t="s">
        <v>26</v>
      </c>
      <c r="R260" s="4" t="str">
        <f>"44089"</f>
        <v>44089</v>
      </c>
      <c r="S260" s="4" t="s">
        <v>193</v>
      </c>
      <c r="T260" s="6">
        <v>44196</v>
      </c>
      <c r="U260" s="4" t="s">
        <v>29</v>
      </c>
    </row>
    <row r="261" spans="1:21" s="3" customFormat="1" x14ac:dyDescent="0.3">
      <c r="A261" s="4" t="str">
        <f>"CB000HCH"</f>
        <v>CB000HCH</v>
      </c>
      <c r="B261" s="4" t="s">
        <v>892</v>
      </c>
      <c r="C261" s="4" t="s">
        <v>768</v>
      </c>
      <c r="D261" s="4" t="s">
        <v>893</v>
      </c>
      <c r="E261" s="4" t="s">
        <v>894</v>
      </c>
      <c r="F261" s="4"/>
      <c r="G261" s="4" t="s">
        <v>895</v>
      </c>
      <c r="H261" s="4" t="s">
        <v>26</v>
      </c>
      <c r="I261" s="4" t="str">
        <f>"43619"</f>
        <v>43619</v>
      </c>
      <c r="J261" s="4" t="s">
        <v>358</v>
      </c>
      <c r="K261" s="4" t="str">
        <f>"(P) 419-691-0330"</f>
        <v>(P) 419-691-0330</v>
      </c>
      <c r="L261" s="4" t="s">
        <v>896</v>
      </c>
      <c r="M261" s="4" t="s">
        <v>892</v>
      </c>
      <c r="N261" s="4" t="s">
        <v>894</v>
      </c>
      <c r="O261" s="4"/>
      <c r="P261" s="4" t="s">
        <v>895</v>
      </c>
      <c r="Q261" s="4" t="s">
        <v>26</v>
      </c>
      <c r="R261" s="4" t="str">
        <f>"43619"</f>
        <v>43619</v>
      </c>
      <c r="S261" s="4" t="s">
        <v>897</v>
      </c>
      <c r="T261" s="6">
        <v>44196</v>
      </c>
      <c r="U261" s="4" t="s">
        <v>29</v>
      </c>
    </row>
    <row r="262" spans="1:21" s="3" customFormat="1" x14ac:dyDescent="0.3">
      <c r="A262" s="4" t="str">
        <f>"CB000HDF"</f>
        <v>CB000HDF</v>
      </c>
      <c r="B262" s="4" t="s">
        <v>898</v>
      </c>
      <c r="C262" s="4" t="s">
        <v>899</v>
      </c>
      <c r="D262" s="4" t="s">
        <v>900</v>
      </c>
      <c r="E262" s="4" t="s">
        <v>901</v>
      </c>
      <c r="F262" s="4"/>
      <c r="G262" s="4" t="s">
        <v>902</v>
      </c>
      <c r="H262" s="4" t="s">
        <v>26</v>
      </c>
      <c r="I262" s="4" t="str">
        <f>"44460"</f>
        <v>44460</v>
      </c>
      <c r="J262" s="4" t="s">
        <v>903</v>
      </c>
      <c r="K262" s="4" t="str">
        <f>"(P) 234-575-7177"</f>
        <v>(P) 234-575-7177</v>
      </c>
      <c r="L262" s="4" t="s">
        <v>904</v>
      </c>
      <c r="M262" s="4" t="s">
        <v>898</v>
      </c>
      <c r="N262" s="4" t="s">
        <v>905</v>
      </c>
      <c r="O262" s="4"/>
      <c r="P262" s="4" t="s">
        <v>902</v>
      </c>
      <c r="Q262" s="4" t="s">
        <v>26</v>
      </c>
      <c r="R262" s="4" t="str">
        <f>"44460"</f>
        <v>44460</v>
      </c>
      <c r="S262" s="4" t="s">
        <v>903</v>
      </c>
      <c r="T262" s="6">
        <v>44196</v>
      </c>
      <c r="U262" s="4" t="s">
        <v>29</v>
      </c>
    </row>
    <row r="263" spans="1:21" s="3" customFormat="1" x14ac:dyDescent="0.3">
      <c r="A263" s="4" t="str">
        <f>"CB000HED"</f>
        <v>CB000HED</v>
      </c>
      <c r="B263" s="4" t="s">
        <v>906</v>
      </c>
      <c r="C263" s="4" t="s">
        <v>907</v>
      </c>
      <c r="D263" s="4" t="s">
        <v>908</v>
      </c>
      <c r="E263" s="4" t="s">
        <v>909</v>
      </c>
      <c r="F263" s="4"/>
      <c r="G263" s="4" t="s">
        <v>253</v>
      </c>
      <c r="H263" s="4" t="s">
        <v>26</v>
      </c>
      <c r="I263" s="4" t="str">
        <f>"43205"</f>
        <v>43205</v>
      </c>
      <c r="J263" s="4" t="s">
        <v>210</v>
      </c>
      <c r="K263" s="4" t="str">
        <f>"(P) 614-258-7267"</f>
        <v>(P) 614-258-7267</v>
      </c>
      <c r="L263" s="4" t="s">
        <v>910</v>
      </c>
      <c r="M263" s="4" t="s">
        <v>906</v>
      </c>
      <c r="N263" s="4" t="s">
        <v>909</v>
      </c>
      <c r="O263" s="4"/>
      <c r="P263" s="4" t="s">
        <v>253</v>
      </c>
      <c r="Q263" s="4" t="s">
        <v>26</v>
      </c>
      <c r="R263" s="4" t="str">
        <f>"43205"</f>
        <v>43205</v>
      </c>
      <c r="S263" s="4" t="s">
        <v>210</v>
      </c>
      <c r="T263" s="6">
        <v>44196</v>
      </c>
      <c r="U263" s="4" t="s">
        <v>29</v>
      </c>
    </row>
    <row r="264" spans="1:21" s="3" customFormat="1" x14ac:dyDescent="0.3">
      <c r="A264" s="4" t="str">
        <f>"CB002ACV"</f>
        <v>CB002ACV</v>
      </c>
      <c r="B264" s="4" t="s">
        <v>1898</v>
      </c>
      <c r="C264" s="4" t="s">
        <v>1592</v>
      </c>
      <c r="D264" s="4" t="s">
        <v>1899</v>
      </c>
      <c r="E264" s="4" t="s">
        <v>1900</v>
      </c>
      <c r="F264" s="4"/>
      <c r="G264" s="4" t="s">
        <v>988</v>
      </c>
      <c r="H264" s="4" t="s">
        <v>26</v>
      </c>
      <c r="I264" s="4" t="str">
        <f>"44691"</f>
        <v>44691</v>
      </c>
      <c r="J264" s="4" t="s">
        <v>735</v>
      </c>
      <c r="K264" s="4" t="str">
        <f>"(M) 330-347-8027"</f>
        <v>(M) 330-347-8027</v>
      </c>
      <c r="L264" s="4" t="s">
        <v>1901</v>
      </c>
      <c r="M264" s="4" t="s">
        <v>1898</v>
      </c>
      <c r="N264" s="4" t="s">
        <v>1902</v>
      </c>
      <c r="O264" s="4"/>
      <c r="P264" s="4" t="s">
        <v>1903</v>
      </c>
      <c r="Q264" s="4" t="s">
        <v>26</v>
      </c>
      <c r="R264" s="4" t="str">
        <f>"44691"</f>
        <v>44691</v>
      </c>
      <c r="S264" s="4" t="s">
        <v>735</v>
      </c>
      <c r="T264" s="6">
        <v>44196</v>
      </c>
      <c r="U264" s="4" t="s">
        <v>29</v>
      </c>
    </row>
    <row r="265" spans="1:21" s="3" customFormat="1" x14ac:dyDescent="0.3">
      <c r="A265" s="4" t="str">
        <f>"CB000HFB"</f>
        <v>CB000HFB</v>
      </c>
      <c r="B265" s="4" t="s">
        <v>911</v>
      </c>
      <c r="C265" s="4" t="s">
        <v>912</v>
      </c>
      <c r="D265" s="4" t="s">
        <v>913</v>
      </c>
      <c r="E265" s="4" t="s">
        <v>914</v>
      </c>
      <c r="F265" s="4"/>
      <c r="G265" s="4" t="s">
        <v>171</v>
      </c>
      <c r="H265" s="4" t="s">
        <v>26</v>
      </c>
      <c r="I265" s="4" t="str">
        <f>"43078"</f>
        <v>43078</v>
      </c>
      <c r="J265" s="4" t="s">
        <v>172</v>
      </c>
      <c r="K265" s="4" t="str">
        <f>"(M) 937-303-7277"</f>
        <v>(M) 937-303-7277</v>
      </c>
      <c r="L265" s="4" t="s">
        <v>915</v>
      </c>
      <c r="M265" s="4" t="s">
        <v>911</v>
      </c>
      <c r="N265" s="4" t="s">
        <v>914</v>
      </c>
      <c r="O265" s="4"/>
      <c r="P265" s="4" t="s">
        <v>171</v>
      </c>
      <c r="Q265" s="4" t="s">
        <v>26</v>
      </c>
      <c r="R265" s="4" t="str">
        <f>"43078"</f>
        <v>43078</v>
      </c>
      <c r="S265" s="4" t="s">
        <v>172</v>
      </c>
      <c r="T265" s="6">
        <v>44196</v>
      </c>
      <c r="U265" s="4" t="s">
        <v>29</v>
      </c>
    </row>
    <row r="266" spans="1:21" s="3" customFormat="1" ht="28.8" x14ac:dyDescent="0.3">
      <c r="A266" s="4" t="str">
        <f>"CB000HG9"</f>
        <v>CB000HG9</v>
      </c>
      <c r="B266" s="4" t="s">
        <v>916</v>
      </c>
      <c r="C266" s="4" t="s">
        <v>562</v>
      </c>
      <c r="D266" s="4" t="s">
        <v>917</v>
      </c>
      <c r="E266" s="4" t="s">
        <v>918</v>
      </c>
      <c r="F266" s="4"/>
      <c r="G266" s="4" t="s">
        <v>919</v>
      </c>
      <c r="H266" s="4" t="s">
        <v>26</v>
      </c>
      <c r="I266" s="4" t="str">
        <f>"44626"</f>
        <v>44626</v>
      </c>
      <c r="J266" s="4" t="s">
        <v>98</v>
      </c>
      <c r="K266" s="4" t="str">
        <f>"(P) 330-866-5405 (M) 330-904-5124"</f>
        <v>(P) 330-866-5405 (M) 330-904-5124</v>
      </c>
      <c r="L266" s="4" t="s">
        <v>920</v>
      </c>
      <c r="M266" s="4" t="s">
        <v>921</v>
      </c>
      <c r="N266" s="4" t="s">
        <v>918</v>
      </c>
      <c r="O266" s="4"/>
      <c r="P266" s="4" t="s">
        <v>919</v>
      </c>
      <c r="Q266" s="4" t="s">
        <v>26</v>
      </c>
      <c r="R266" s="4" t="str">
        <f>"44626"</f>
        <v>44626</v>
      </c>
      <c r="S266" s="4" t="s">
        <v>98</v>
      </c>
      <c r="T266" s="6">
        <v>44196</v>
      </c>
      <c r="U266" s="4" t="s">
        <v>29</v>
      </c>
    </row>
    <row r="267" spans="1:21" s="3" customFormat="1" x14ac:dyDescent="0.3">
      <c r="A267" s="4" t="str">
        <f>"CB0016M2"</f>
        <v>CB0016M2</v>
      </c>
      <c r="B267" s="4" t="s">
        <v>1556</v>
      </c>
      <c r="C267" s="4"/>
      <c r="D267" s="4"/>
      <c r="E267" s="4" t="s">
        <v>1557</v>
      </c>
      <c r="F267" s="4"/>
      <c r="G267" s="4" t="s">
        <v>70</v>
      </c>
      <c r="H267" s="4" t="s">
        <v>26</v>
      </c>
      <c r="I267" s="4" t="str">
        <f>"44024"</f>
        <v>44024</v>
      </c>
      <c r="J267" s="4" t="s">
        <v>71</v>
      </c>
      <c r="K267" s="4" t="str">
        <f>"(P) 440-221-6226"</f>
        <v>(P) 440-221-6226</v>
      </c>
      <c r="L267" s="4" t="s">
        <v>1558</v>
      </c>
      <c r="M267" s="4" t="s">
        <v>1556</v>
      </c>
      <c r="N267" s="4" t="s">
        <v>1557</v>
      </c>
      <c r="O267" s="4"/>
      <c r="P267" s="4" t="s">
        <v>70</v>
      </c>
      <c r="Q267" s="4" t="s">
        <v>26</v>
      </c>
      <c r="R267" s="4" t="str">
        <f>"44024"</f>
        <v>44024</v>
      </c>
      <c r="S267" s="4" t="s">
        <v>71</v>
      </c>
      <c r="T267" s="6">
        <v>44196</v>
      </c>
      <c r="U267" s="4" t="s">
        <v>29</v>
      </c>
    </row>
    <row r="268" spans="1:21" s="3" customFormat="1" ht="28.8" x14ac:dyDescent="0.3">
      <c r="A268" s="4" t="str">
        <f>"CB000HK3"</f>
        <v>CB000HK3</v>
      </c>
      <c r="B268" s="4" t="s">
        <v>922</v>
      </c>
      <c r="C268" s="4" t="s">
        <v>923</v>
      </c>
      <c r="D268" s="4" t="s">
        <v>924</v>
      </c>
      <c r="E268" s="4" t="s">
        <v>925</v>
      </c>
      <c r="F268" s="4"/>
      <c r="G268" s="4" t="s">
        <v>472</v>
      </c>
      <c r="H268" s="4" t="s">
        <v>26</v>
      </c>
      <c r="I268" s="4" t="str">
        <f>"45240"</f>
        <v>45240</v>
      </c>
      <c r="J268" s="4" t="s">
        <v>473</v>
      </c>
      <c r="K268" s="4" t="str">
        <f>"(P) 513-520-1013 (M) 513-851-7031"</f>
        <v>(P) 513-520-1013 (M) 513-851-7031</v>
      </c>
      <c r="L268" s="4" t="s">
        <v>926</v>
      </c>
      <c r="M268" s="4" t="s">
        <v>922</v>
      </c>
      <c r="N268" s="4" t="s">
        <v>925</v>
      </c>
      <c r="O268" s="4"/>
      <c r="P268" s="4" t="s">
        <v>472</v>
      </c>
      <c r="Q268" s="4" t="s">
        <v>26</v>
      </c>
      <c r="R268" s="4" t="str">
        <f>"45240"</f>
        <v>45240</v>
      </c>
      <c r="S268" s="4" t="s">
        <v>473</v>
      </c>
      <c r="T268" s="6">
        <v>44196</v>
      </c>
      <c r="U268" s="4" t="s">
        <v>29</v>
      </c>
    </row>
    <row r="269" spans="1:21" s="3" customFormat="1" ht="28.8" x14ac:dyDescent="0.3">
      <c r="A269" s="4" t="str">
        <f>"CB000JF7"</f>
        <v>CB000JF7</v>
      </c>
      <c r="B269" s="4" t="s">
        <v>997</v>
      </c>
      <c r="C269" s="4" t="s">
        <v>80</v>
      </c>
      <c r="D269" s="4" t="s">
        <v>998</v>
      </c>
      <c r="E269" s="4" t="s">
        <v>999</v>
      </c>
      <c r="F269" s="4"/>
      <c r="G269" s="4" t="s">
        <v>583</v>
      </c>
      <c r="H269" s="4" t="s">
        <v>26</v>
      </c>
      <c r="I269" s="4" t="str">
        <f>"45401"</f>
        <v>45401</v>
      </c>
      <c r="J269" s="4" t="s">
        <v>58</v>
      </c>
      <c r="K269" s="4" t="str">
        <f>"(P) 937-657-2407"</f>
        <v>(P) 937-657-2407</v>
      </c>
      <c r="L269" s="4" t="s">
        <v>1000</v>
      </c>
      <c r="M269" s="4" t="s">
        <v>997</v>
      </c>
      <c r="N269" s="4" t="s">
        <v>1001</v>
      </c>
      <c r="O269" s="4"/>
      <c r="P269" s="4" t="s">
        <v>583</v>
      </c>
      <c r="Q269" s="4" t="s">
        <v>26</v>
      </c>
      <c r="R269" s="4" t="str">
        <f>"45405"</f>
        <v>45405</v>
      </c>
      <c r="S269" s="4" t="s">
        <v>58</v>
      </c>
      <c r="T269" s="6">
        <v>44196</v>
      </c>
      <c r="U269" s="4" t="s">
        <v>29</v>
      </c>
    </row>
    <row r="270" spans="1:21" s="3" customFormat="1" x14ac:dyDescent="0.3">
      <c r="A270" s="4" t="str">
        <f>"CB00190Y"</f>
        <v>CB00190Y</v>
      </c>
      <c r="B270" s="4" t="s">
        <v>1583</v>
      </c>
      <c r="C270" s="4" t="s">
        <v>1584</v>
      </c>
      <c r="D270" s="4" t="s">
        <v>1585</v>
      </c>
      <c r="E270" s="4" t="s">
        <v>1586</v>
      </c>
      <c r="F270" s="4"/>
      <c r="G270" s="4" t="s">
        <v>1587</v>
      </c>
      <c r="H270" s="4" t="s">
        <v>26</v>
      </c>
      <c r="I270" s="4" t="str">
        <f>"44040"</f>
        <v>44040</v>
      </c>
      <c r="J270" s="4" t="s">
        <v>43</v>
      </c>
      <c r="K270" s="4" t="str">
        <f>"(P) 440-376-9441"</f>
        <v>(P) 440-376-9441</v>
      </c>
      <c r="L270" s="4" t="s">
        <v>1588</v>
      </c>
      <c r="M270" s="4" t="s">
        <v>1583</v>
      </c>
      <c r="N270" s="4" t="s">
        <v>1589</v>
      </c>
      <c r="O270" s="4"/>
      <c r="P270" s="4" t="s">
        <v>1590</v>
      </c>
      <c r="Q270" s="4" t="s">
        <v>26</v>
      </c>
      <c r="R270" s="4" t="str">
        <f>"44124"</f>
        <v>44124</v>
      </c>
      <c r="S270" s="4" t="s">
        <v>43</v>
      </c>
      <c r="T270" s="6">
        <v>44196</v>
      </c>
      <c r="U270" s="4" t="s">
        <v>29</v>
      </c>
    </row>
    <row r="271" spans="1:21" s="3" customFormat="1" ht="28.8" x14ac:dyDescent="0.3">
      <c r="A271" s="4" t="str">
        <f>"CB0013LG"</f>
        <v>CB0013LG</v>
      </c>
      <c r="B271" s="4" t="s">
        <v>1483</v>
      </c>
      <c r="C271" s="4" t="s">
        <v>1484</v>
      </c>
      <c r="D271" s="4" t="s">
        <v>1485</v>
      </c>
      <c r="E271" s="4" t="s">
        <v>1486</v>
      </c>
      <c r="F271" s="4"/>
      <c r="G271" s="4" t="s">
        <v>97</v>
      </c>
      <c r="H271" s="4" t="s">
        <v>26</v>
      </c>
      <c r="I271" s="4" t="str">
        <f>"44735"</f>
        <v>44735</v>
      </c>
      <c r="J271" s="4" t="s">
        <v>98</v>
      </c>
      <c r="K271" s="4" t="str">
        <f>"(P) 330-837-2453 (M) 330-323-4783"</f>
        <v>(P) 330-837-2453 (M) 330-323-4783</v>
      </c>
      <c r="L271" s="4" t="s">
        <v>1487</v>
      </c>
      <c r="M271" s="4" t="s">
        <v>1483</v>
      </c>
      <c r="N271" s="4" t="s">
        <v>1486</v>
      </c>
      <c r="O271" s="4"/>
      <c r="P271" s="4" t="s">
        <v>97</v>
      </c>
      <c r="Q271" s="4" t="s">
        <v>26</v>
      </c>
      <c r="R271" s="4" t="str">
        <f>"44735"</f>
        <v>44735</v>
      </c>
      <c r="S271" s="4" t="s">
        <v>98</v>
      </c>
      <c r="T271" s="6">
        <v>44196</v>
      </c>
      <c r="U271" s="4" t="s">
        <v>29</v>
      </c>
    </row>
    <row r="272" spans="1:21" s="3" customFormat="1" ht="28.8" x14ac:dyDescent="0.3">
      <c r="A272" s="4" t="str">
        <f>"CB000HPW"</f>
        <v>CB000HPW</v>
      </c>
      <c r="B272" s="4" t="s">
        <v>927</v>
      </c>
      <c r="C272" s="4" t="s">
        <v>708</v>
      </c>
      <c r="D272" s="4" t="s">
        <v>928</v>
      </c>
      <c r="E272" s="4" t="s">
        <v>929</v>
      </c>
      <c r="F272" s="4"/>
      <c r="G272" s="4" t="s">
        <v>930</v>
      </c>
      <c r="H272" s="4" t="s">
        <v>26</v>
      </c>
      <c r="I272" s="4" t="str">
        <f>"43031"</f>
        <v>43031</v>
      </c>
      <c r="J272" s="4" t="s">
        <v>548</v>
      </c>
      <c r="K272" s="4" t="str">
        <f>"(P) 740-967-3700 (F) 740-967-0206"</f>
        <v>(P) 740-967-3700 (F) 740-967-0206</v>
      </c>
      <c r="L272" s="4" t="s">
        <v>931</v>
      </c>
      <c r="M272" s="4" t="s">
        <v>927</v>
      </c>
      <c r="N272" s="4" t="s">
        <v>932</v>
      </c>
      <c r="O272" s="4"/>
      <c r="P272" s="4" t="s">
        <v>930</v>
      </c>
      <c r="Q272" s="4" t="s">
        <v>26</v>
      </c>
      <c r="R272" s="4" t="str">
        <f>"43031"</f>
        <v>43031</v>
      </c>
      <c r="S272" s="4" t="s">
        <v>548</v>
      </c>
      <c r="T272" s="6">
        <v>44196</v>
      </c>
      <c r="U272" s="4" t="s">
        <v>29</v>
      </c>
    </row>
    <row r="273" spans="1:21" s="3" customFormat="1" ht="28.8" x14ac:dyDescent="0.3">
      <c r="A273" s="4" t="str">
        <f>"CB000HQU"</f>
        <v>CB000HQU</v>
      </c>
      <c r="B273" s="4" t="s">
        <v>933</v>
      </c>
      <c r="C273" s="4" t="s">
        <v>934</v>
      </c>
      <c r="D273" s="4" t="s">
        <v>935</v>
      </c>
      <c r="E273" s="4" t="s">
        <v>936</v>
      </c>
      <c r="F273" s="4" t="s">
        <v>937</v>
      </c>
      <c r="G273" s="4" t="s">
        <v>856</v>
      </c>
      <c r="H273" s="4" t="s">
        <v>26</v>
      </c>
      <c r="I273" s="4" t="str">
        <f>"45305"</f>
        <v>45305</v>
      </c>
      <c r="J273" s="4" t="s">
        <v>681</v>
      </c>
      <c r="K273" s="4" t="str">
        <f>"(P) 937-848-9090 (F) 937-848-6060 (M) 937-286-3020"</f>
        <v>(P) 937-848-9090 (F) 937-848-6060 (M) 937-286-3020</v>
      </c>
      <c r="L273" s="4" t="s">
        <v>938</v>
      </c>
      <c r="M273" s="4" t="s">
        <v>933</v>
      </c>
      <c r="N273" s="4" t="s">
        <v>936</v>
      </c>
      <c r="O273" s="4" t="s">
        <v>937</v>
      </c>
      <c r="P273" s="4" t="s">
        <v>856</v>
      </c>
      <c r="Q273" s="4" t="s">
        <v>26</v>
      </c>
      <c r="R273" s="4" t="str">
        <f>"45305"</f>
        <v>45305</v>
      </c>
      <c r="S273" s="4" t="s">
        <v>681</v>
      </c>
      <c r="T273" s="6">
        <v>44196</v>
      </c>
      <c r="U273" s="4" t="s">
        <v>29</v>
      </c>
    </row>
    <row r="274" spans="1:21" s="3" customFormat="1" ht="28.8" x14ac:dyDescent="0.3">
      <c r="A274" s="4" t="str">
        <f>"CB000HTN"</f>
        <v>CB000HTN</v>
      </c>
      <c r="B274" s="4" t="s">
        <v>939</v>
      </c>
      <c r="C274" s="4" t="s">
        <v>912</v>
      </c>
      <c r="D274" s="4" t="s">
        <v>940</v>
      </c>
      <c r="E274" s="4" t="s">
        <v>941</v>
      </c>
      <c r="F274" s="4"/>
      <c r="G274" s="4" t="s">
        <v>383</v>
      </c>
      <c r="H274" s="4" t="s">
        <v>26</v>
      </c>
      <c r="I274" s="4" t="str">
        <f>"44113"</f>
        <v>44113</v>
      </c>
      <c r="J274" s="4" t="s">
        <v>43</v>
      </c>
      <c r="K274" s="4" t="str">
        <f>"(P) 216-664-9660 (F) 216-208-4021 (M) 216-526-6888"</f>
        <v>(P) 216-664-9660 (F) 216-208-4021 (M) 216-526-6888</v>
      </c>
      <c r="L274" s="4" t="s">
        <v>942</v>
      </c>
      <c r="M274" s="4" t="s">
        <v>939</v>
      </c>
      <c r="N274" s="4" t="s">
        <v>941</v>
      </c>
      <c r="O274" s="4"/>
      <c r="P274" s="4" t="s">
        <v>383</v>
      </c>
      <c r="Q274" s="4" t="s">
        <v>26</v>
      </c>
      <c r="R274" s="4" t="str">
        <f>"44113"</f>
        <v>44113</v>
      </c>
      <c r="S274" s="4" t="s">
        <v>43</v>
      </c>
      <c r="T274" s="6">
        <v>44196</v>
      </c>
      <c r="U274" s="4" t="s">
        <v>29</v>
      </c>
    </row>
    <row r="275" spans="1:21" s="3" customFormat="1" ht="28.8" x14ac:dyDescent="0.3">
      <c r="A275" s="4" t="str">
        <f>"CB000HUL"</f>
        <v>CB000HUL</v>
      </c>
      <c r="B275" s="4" t="s">
        <v>943</v>
      </c>
      <c r="C275" s="4" t="s">
        <v>80</v>
      </c>
      <c r="D275" s="4" t="s">
        <v>944</v>
      </c>
      <c r="E275" s="4" t="s">
        <v>945</v>
      </c>
      <c r="F275" s="4"/>
      <c r="G275" s="4" t="s">
        <v>946</v>
      </c>
      <c r="H275" s="4" t="s">
        <v>26</v>
      </c>
      <c r="I275" s="4" t="str">
        <f>"43147"</f>
        <v>43147</v>
      </c>
      <c r="J275" s="4" t="s">
        <v>512</v>
      </c>
      <c r="K275" s="4" t="str">
        <f>"(P) 614-578-5624 (F) 855-446-1195 (M) 616-886-2562"</f>
        <v>(P) 614-578-5624 (F) 855-446-1195 (M) 616-886-2562</v>
      </c>
      <c r="L275" s="4" t="s">
        <v>947</v>
      </c>
      <c r="M275" s="4" t="s">
        <v>943</v>
      </c>
      <c r="N275" s="4" t="s">
        <v>945</v>
      </c>
      <c r="O275" s="4"/>
      <c r="P275" s="4" t="s">
        <v>946</v>
      </c>
      <c r="Q275" s="4" t="s">
        <v>26</v>
      </c>
      <c r="R275" s="4" t="str">
        <f>"43147"</f>
        <v>43147</v>
      </c>
      <c r="S275" s="4" t="s">
        <v>512</v>
      </c>
      <c r="T275" s="6">
        <v>44196</v>
      </c>
      <c r="U275" s="4" t="s">
        <v>29</v>
      </c>
    </row>
    <row r="276" spans="1:21" s="3" customFormat="1" x14ac:dyDescent="0.3">
      <c r="A276" s="4" t="str">
        <f>"CB000HZA"</f>
        <v>CB000HZA</v>
      </c>
      <c r="B276" s="4" t="s">
        <v>948</v>
      </c>
      <c r="C276" s="4" t="s">
        <v>298</v>
      </c>
      <c r="D276" s="4" t="s">
        <v>949</v>
      </c>
      <c r="E276" s="4" t="s">
        <v>950</v>
      </c>
      <c r="F276" s="4"/>
      <c r="G276" s="4" t="s">
        <v>951</v>
      </c>
      <c r="H276" s="4" t="s">
        <v>26</v>
      </c>
      <c r="I276" s="4" t="str">
        <f>"45041"</f>
        <v>45041</v>
      </c>
      <c r="J276" s="4" t="s">
        <v>473</v>
      </c>
      <c r="K276" s="4" t="str">
        <f>"(P) 513-203-9224"</f>
        <v>(P) 513-203-9224</v>
      </c>
      <c r="L276" s="4" t="s">
        <v>952</v>
      </c>
      <c r="M276" s="4" t="s">
        <v>953</v>
      </c>
      <c r="N276" s="4" t="s">
        <v>954</v>
      </c>
      <c r="O276" s="4"/>
      <c r="P276" s="4" t="s">
        <v>955</v>
      </c>
      <c r="Q276" s="4" t="s">
        <v>26</v>
      </c>
      <c r="R276" s="4" t="str">
        <f>"45044"</f>
        <v>45044</v>
      </c>
      <c r="S276" s="4" t="s">
        <v>956</v>
      </c>
      <c r="T276" s="6">
        <v>44196</v>
      </c>
      <c r="U276" s="4" t="s">
        <v>29</v>
      </c>
    </row>
    <row r="277" spans="1:21" s="3" customFormat="1" ht="28.8" x14ac:dyDescent="0.3">
      <c r="A277" s="4" t="str">
        <f>"CB000JVE"</f>
        <v>CB000JVE</v>
      </c>
      <c r="B277" s="4" t="s">
        <v>1047</v>
      </c>
      <c r="C277" s="4" t="s">
        <v>1048</v>
      </c>
      <c r="D277" s="4" t="s">
        <v>1049</v>
      </c>
      <c r="E277" s="4" t="s">
        <v>1050</v>
      </c>
      <c r="F277" s="4"/>
      <c r="G277" s="4" t="s">
        <v>622</v>
      </c>
      <c r="H277" s="4" t="s">
        <v>26</v>
      </c>
      <c r="I277" s="4" t="str">
        <f>"45419"</f>
        <v>45419</v>
      </c>
      <c r="J277" s="4" t="s">
        <v>58</v>
      </c>
      <c r="K277" s="4" t="str">
        <f>"(P) 937-294-6505 (F) 937-643-7324 (M) 412-657-4502"</f>
        <v>(P) 937-294-6505 (F) 937-643-7324 (M) 412-657-4502</v>
      </c>
      <c r="L277" s="4" t="s">
        <v>1051</v>
      </c>
      <c r="M277" s="4" t="s">
        <v>1047</v>
      </c>
      <c r="N277" s="4" t="s">
        <v>1050</v>
      </c>
      <c r="O277" s="4"/>
      <c r="P277" s="4" t="s">
        <v>622</v>
      </c>
      <c r="Q277" s="4" t="s">
        <v>26</v>
      </c>
      <c r="R277" s="4" t="str">
        <f>"45419"</f>
        <v>45419</v>
      </c>
      <c r="S277" s="4" t="s">
        <v>58</v>
      </c>
      <c r="T277" s="6">
        <v>44196</v>
      </c>
      <c r="U277" s="4" t="s">
        <v>29</v>
      </c>
    </row>
    <row r="278" spans="1:21" s="3" customFormat="1" ht="28.8" x14ac:dyDescent="0.3">
      <c r="A278" s="4" t="str">
        <f>"CB002ADT"</f>
        <v>CB002ADT</v>
      </c>
      <c r="B278" s="4" t="s">
        <v>1904</v>
      </c>
      <c r="C278" s="4" t="s">
        <v>134</v>
      </c>
      <c r="D278" s="4" t="s">
        <v>1905</v>
      </c>
      <c r="E278" s="4" t="s">
        <v>1906</v>
      </c>
      <c r="F278" s="4"/>
      <c r="G278" s="4" t="s">
        <v>1907</v>
      </c>
      <c r="H278" s="4" t="s">
        <v>26</v>
      </c>
      <c r="I278" s="4" t="str">
        <f>"44010"</f>
        <v>44010</v>
      </c>
      <c r="J278" s="4" t="s">
        <v>662</v>
      </c>
      <c r="K278" s="4" t="str">
        <f>"(M) 440-334-0721"</f>
        <v>(M) 440-334-0721</v>
      </c>
      <c r="L278" s="4" t="s">
        <v>1908</v>
      </c>
      <c r="M278" s="4" t="s">
        <v>1904</v>
      </c>
      <c r="N278" s="4" t="s">
        <v>1906</v>
      </c>
      <c r="O278" s="4"/>
      <c r="P278" s="4" t="s">
        <v>1907</v>
      </c>
      <c r="Q278" s="4" t="s">
        <v>26</v>
      </c>
      <c r="R278" s="4" t="str">
        <f>"44010"</f>
        <v>44010</v>
      </c>
      <c r="S278" s="4" t="s">
        <v>662</v>
      </c>
      <c r="T278" s="6">
        <v>44196</v>
      </c>
      <c r="U278" s="4" t="s">
        <v>29</v>
      </c>
    </row>
    <row r="279" spans="1:21" s="3" customFormat="1" ht="28.8" x14ac:dyDescent="0.3">
      <c r="A279" s="4" t="str">
        <f>"CB000J12"</f>
        <v>CB000J12</v>
      </c>
      <c r="B279" s="4" t="s">
        <v>957</v>
      </c>
      <c r="C279" s="4" t="s">
        <v>492</v>
      </c>
      <c r="D279" s="4" t="s">
        <v>958</v>
      </c>
      <c r="E279" s="4" t="s">
        <v>959</v>
      </c>
      <c r="F279" s="4"/>
      <c r="G279" s="4" t="s">
        <v>960</v>
      </c>
      <c r="H279" s="4" t="s">
        <v>961</v>
      </c>
      <c r="I279" s="4" t="str">
        <f>"74104"</f>
        <v>74104</v>
      </c>
      <c r="J279" s="4" t="s">
        <v>962</v>
      </c>
      <c r="K279" s="4" t="str">
        <f>"(F) 918-445-5136 (M) 918-638-4483"</f>
        <v>(F) 918-445-5136 (M) 918-638-4483</v>
      </c>
      <c r="L279" s="4" t="s">
        <v>963</v>
      </c>
      <c r="M279" s="4" t="s">
        <v>957</v>
      </c>
      <c r="N279" s="4" t="s">
        <v>964</v>
      </c>
      <c r="O279" s="4"/>
      <c r="P279" s="4" t="s">
        <v>960</v>
      </c>
      <c r="Q279" s="4" t="s">
        <v>961</v>
      </c>
      <c r="R279" s="4" t="str">
        <f>"74104"</f>
        <v>74104</v>
      </c>
      <c r="S279" s="4" t="s">
        <v>962</v>
      </c>
      <c r="T279" s="6">
        <v>44196</v>
      </c>
      <c r="U279" s="4" t="s">
        <v>29</v>
      </c>
    </row>
    <row r="280" spans="1:21" s="3" customFormat="1" x14ac:dyDescent="0.3">
      <c r="A280" s="4" t="str">
        <f>"CB000ADA"</f>
        <v>CB000ADA</v>
      </c>
      <c r="B280" s="4" t="s">
        <v>187</v>
      </c>
      <c r="C280" s="4" t="s">
        <v>188</v>
      </c>
      <c r="D280" s="4" t="s">
        <v>189</v>
      </c>
      <c r="E280" s="4" t="s">
        <v>190</v>
      </c>
      <c r="F280" s="4" t="s">
        <v>191</v>
      </c>
      <c r="G280" s="4" t="s">
        <v>192</v>
      </c>
      <c r="H280" s="4" t="s">
        <v>26</v>
      </c>
      <c r="I280" s="4" t="str">
        <f>"44824"</f>
        <v>44824</v>
      </c>
      <c r="J280" s="4" t="s">
        <v>193</v>
      </c>
      <c r="K280" s="4" t="str">
        <f>"(P) 419-217-6032"</f>
        <v>(P) 419-217-6032</v>
      </c>
      <c r="L280" s="4" t="s">
        <v>194</v>
      </c>
      <c r="M280" s="4" t="s">
        <v>195</v>
      </c>
      <c r="N280" s="4" t="s">
        <v>196</v>
      </c>
      <c r="O280" s="4"/>
      <c r="P280" s="4" t="s">
        <v>192</v>
      </c>
      <c r="Q280" s="4" t="s">
        <v>26</v>
      </c>
      <c r="R280" s="4" t="str">
        <f>"44824"</f>
        <v>44824</v>
      </c>
      <c r="S280" s="4" t="s">
        <v>193</v>
      </c>
      <c r="T280" s="6">
        <v>44196</v>
      </c>
      <c r="U280" s="4" t="s">
        <v>29</v>
      </c>
    </row>
    <row r="281" spans="1:21" s="3" customFormat="1" ht="28.8" x14ac:dyDescent="0.3">
      <c r="A281" s="4" t="str">
        <f>"CB000J3X"</f>
        <v>CB000J3X</v>
      </c>
      <c r="B281" s="4" t="s">
        <v>965</v>
      </c>
      <c r="C281" s="4" t="s">
        <v>694</v>
      </c>
      <c r="D281" s="4" t="s">
        <v>95</v>
      </c>
      <c r="E281" s="4" t="s">
        <v>966</v>
      </c>
      <c r="F281" s="4"/>
      <c r="G281" s="4" t="s">
        <v>967</v>
      </c>
      <c r="H281" s="4" t="s">
        <v>26</v>
      </c>
      <c r="I281" s="4" t="str">
        <f>"43420"</f>
        <v>43420</v>
      </c>
      <c r="J281" s="4" t="s">
        <v>968</v>
      </c>
      <c r="K281" s="4" t="str">
        <f>"(P) 419-463-8474 (F) 419-334-2773 (M) 419-463-8474"</f>
        <v>(P) 419-463-8474 (F) 419-334-2773 (M) 419-463-8474</v>
      </c>
      <c r="L281" s="4" t="s">
        <v>969</v>
      </c>
      <c r="M281" s="4" t="s">
        <v>965</v>
      </c>
      <c r="N281" s="4" t="s">
        <v>970</v>
      </c>
      <c r="O281" s="4"/>
      <c r="P281" s="4" t="s">
        <v>967</v>
      </c>
      <c r="Q281" s="4" t="s">
        <v>26</v>
      </c>
      <c r="R281" s="4" t="str">
        <f>"43420"</f>
        <v>43420</v>
      </c>
      <c r="S281" s="4" t="s">
        <v>968</v>
      </c>
      <c r="T281" s="6">
        <v>44196</v>
      </c>
      <c r="U281" s="4" t="s">
        <v>29</v>
      </c>
    </row>
    <row r="282" spans="1:21" s="3" customFormat="1" x14ac:dyDescent="0.3">
      <c r="A282" s="4" t="str">
        <f>"CB0015TT"</f>
        <v>CB0015TT</v>
      </c>
      <c r="B282" s="4" t="s">
        <v>1551</v>
      </c>
      <c r="C282" s="4" t="s">
        <v>1552</v>
      </c>
      <c r="D282" s="4" t="s">
        <v>665</v>
      </c>
      <c r="E282" s="4" t="s">
        <v>1553</v>
      </c>
      <c r="F282" s="4"/>
      <c r="G282" s="4" t="s">
        <v>1554</v>
      </c>
      <c r="H282" s="4" t="s">
        <v>26</v>
      </c>
      <c r="I282" s="4" t="str">
        <f>"45715"</f>
        <v>45715</v>
      </c>
      <c r="J282" s="4" t="s">
        <v>1282</v>
      </c>
      <c r="K282" s="4" t="str">
        <f>"(P) 740-538-2984"</f>
        <v>(P) 740-538-2984</v>
      </c>
      <c r="L282" s="4" t="s">
        <v>1555</v>
      </c>
      <c r="M282" s="4" t="s">
        <v>1551</v>
      </c>
      <c r="N282" s="4" t="s">
        <v>1553</v>
      </c>
      <c r="O282" s="4"/>
      <c r="P282" s="4" t="s">
        <v>1554</v>
      </c>
      <c r="Q282" s="4" t="s">
        <v>26</v>
      </c>
      <c r="R282" s="4" t="str">
        <f>"45715"</f>
        <v>45715</v>
      </c>
      <c r="S282" s="4" t="s">
        <v>1282</v>
      </c>
      <c r="T282" s="6">
        <v>44196</v>
      </c>
      <c r="U282" s="4" t="s">
        <v>29</v>
      </c>
    </row>
    <row r="283" spans="1:21" s="3" customFormat="1" ht="28.8" x14ac:dyDescent="0.3">
      <c r="A283" s="4" t="str">
        <f>"CB0013YR"</f>
        <v>CB0013YR</v>
      </c>
      <c r="B283" s="4" t="s">
        <v>1509</v>
      </c>
      <c r="C283" s="4" t="s">
        <v>1510</v>
      </c>
      <c r="D283" s="4" t="s">
        <v>1511</v>
      </c>
      <c r="E283" s="4" t="s">
        <v>1512</v>
      </c>
      <c r="F283" s="4"/>
      <c r="G283" s="4" t="s">
        <v>1513</v>
      </c>
      <c r="H283" s="4" t="s">
        <v>165</v>
      </c>
      <c r="I283" s="4" t="str">
        <f>"19320"</f>
        <v>19320</v>
      </c>
      <c r="J283" s="4" t="s">
        <v>1325</v>
      </c>
      <c r="K283" s="4" t="str">
        <f>"(P) 484-319-3255 (F) 610-399-0243"</f>
        <v>(P) 484-319-3255 (F) 610-399-0243</v>
      </c>
      <c r="L283" s="4" t="s">
        <v>1514</v>
      </c>
      <c r="M283" s="4" t="s">
        <v>1509</v>
      </c>
      <c r="N283" s="4" t="s">
        <v>1512</v>
      </c>
      <c r="O283" s="4"/>
      <c r="P283" s="4" t="s">
        <v>1513</v>
      </c>
      <c r="Q283" s="4" t="s">
        <v>165</v>
      </c>
      <c r="R283" s="4" t="str">
        <f>"19320"</f>
        <v>19320</v>
      </c>
      <c r="S283" s="4" t="s">
        <v>1325</v>
      </c>
      <c r="T283" s="6">
        <v>44196</v>
      </c>
      <c r="U283" s="4" t="s">
        <v>29</v>
      </c>
    </row>
    <row r="284" spans="1:21" s="3" customFormat="1" ht="28.8" x14ac:dyDescent="0.3">
      <c r="A284" s="4" t="str">
        <f>"CB000MS6"</f>
        <v>CB000MS6</v>
      </c>
      <c r="B284" s="4" t="s">
        <v>1274</v>
      </c>
      <c r="C284" s="4" t="s">
        <v>1275</v>
      </c>
      <c r="D284" s="4" t="s">
        <v>1276</v>
      </c>
      <c r="E284" s="4" t="s">
        <v>191</v>
      </c>
      <c r="F284" s="4"/>
      <c r="G284" s="4" t="s">
        <v>1277</v>
      </c>
      <c r="H284" s="4" t="s">
        <v>165</v>
      </c>
      <c r="I284" s="4" t="str">
        <f>"15061"</f>
        <v>15061</v>
      </c>
      <c r="J284" s="4" t="s">
        <v>1278</v>
      </c>
      <c r="K284" s="4" t="str">
        <f>"(P) 412-835-8802 (M) 412-951-2856"</f>
        <v>(P) 412-835-8802 (M) 412-951-2856</v>
      </c>
      <c r="L284" s="4" t="s">
        <v>1279</v>
      </c>
      <c r="M284" s="4" t="s">
        <v>1274</v>
      </c>
      <c r="N284" s="4" t="s">
        <v>1280</v>
      </c>
      <c r="O284" s="4"/>
      <c r="P284" s="4" t="s">
        <v>1281</v>
      </c>
      <c r="Q284" s="4" t="s">
        <v>165</v>
      </c>
      <c r="R284" s="4" t="str">
        <f>"15129"</f>
        <v>15129</v>
      </c>
      <c r="S284" s="4" t="s">
        <v>1282</v>
      </c>
      <c r="T284" s="6">
        <v>44196</v>
      </c>
      <c r="U284" s="4" t="s">
        <v>29</v>
      </c>
    </row>
    <row r="285" spans="1:21" s="3" customFormat="1" ht="28.8" x14ac:dyDescent="0.3">
      <c r="A285" s="4" t="str">
        <f>"CB000KTC"</f>
        <v>CB000KTC</v>
      </c>
      <c r="B285" s="4" t="s">
        <v>1115</v>
      </c>
      <c r="C285" s="4" t="s">
        <v>298</v>
      </c>
      <c r="D285" s="4" t="s">
        <v>1116</v>
      </c>
      <c r="E285" s="4" t="s">
        <v>1117</v>
      </c>
      <c r="F285" s="4"/>
      <c r="G285" s="4" t="s">
        <v>1118</v>
      </c>
      <c r="H285" s="4" t="s">
        <v>26</v>
      </c>
      <c r="I285" s="4" t="str">
        <f>"43702"</f>
        <v>43702</v>
      </c>
      <c r="J285" s="4" t="s">
        <v>1012</v>
      </c>
      <c r="K285" s="4" t="str">
        <f>"(P) 740-586-8934 (F) 740-450-0171"</f>
        <v>(P) 740-586-8934 (F) 740-450-0171</v>
      </c>
      <c r="L285" s="4" t="s">
        <v>1119</v>
      </c>
      <c r="M285" s="4" t="s">
        <v>1115</v>
      </c>
      <c r="N285" s="4" t="s">
        <v>1117</v>
      </c>
      <c r="O285" s="4"/>
      <c r="P285" s="4" t="s">
        <v>1118</v>
      </c>
      <c r="Q285" s="4" t="s">
        <v>26</v>
      </c>
      <c r="R285" s="4" t="str">
        <f>"43702"</f>
        <v>43702</v>
      </c>
      <c r="S285" s="4" t="s">
        <v>1012</v>
      </c>
      <c r="T285" s="6">
        <v>44196</v>
      </c>
      <c r="U285" s="4" t="s">
        <v>29</v>
      </c>
    </row>
    <row r="286" spans="1:21" s="3" customFormat="1" x14ac:dyDescent="0.3">
      <c r="A286" s="4" t="str">
        <f>"CB00293J"</f>
        <v>CB00293J</v>
      </c>
      <c r="B286" s="4" t="s">
        <v>1828</v>
      </c>
      <c r="C286" s="4" t="s">
        <v>1829</v>
      </c>
      <c r="D286" s="4" t="s">
        <v>1830</v>
      </c>
      <c r="E286" s="4" t="s">
        <v>1831</v>
      </c>
      <c r="F286" s="4"/>
      <c r="G286" s="4" t="s">
        <v>1832</v>
      </c>
      <c r="H286" s="4" t="s">
        <v>26</v>
      </c>
      <c r="I286" s="4" t="str">
        <f>"45640"</f>
        <v>45640</v>
      </c>
      <c r="J286" s="4" t="s">
        <v>1832</v>
      </c>
      <c r="K286" s="4" t="str">
        <f>"(M) 740-395-7092"</f>
        <v>(M) 740-395-7092</v>
      </c>
      <c r="L286" s="4" t="s">
        <v>1833</v>
      </c>
      <c r="M286" s="4" t="s">
        <v>1828</v>
      </c>
      <c r="N286" s="4" t="s">
        <v>1834</v>
      </c>
      <c r="O286" s="4" t="s">
        <v>1835</v>
      </c>
      <c r="P286" s="4" t="s">
        <v>1836</v>
      </c>
      <c r="Q286" s="4" t="s">
        <v>26</v>
      </c>
      <c r="R286" s="4" t="str">
        <f>"45692"</f>
        <v>45692</v>
      </c>
      <c r="S286" s="4" t="s">
        <v>1832</v>
      </c>
      <c r="T286" s="6">
        <v>44196</v>
      </c>
      <c r="U286" s="4" t="s">
        <v>29</v>
      </c>
    </row>
    <row r="287" spans="1:21" s="3" customFormat="1" ht="28.8" x14ac:dyDescent="0.3">
      <c r="A287" s="4" t="str">
        <f>"CB000JAH"</f>
        <v>CB000JAH</v>
      </c>
      <c r="B287" s="4" t="s">
        <v>971</v>
      </c>
      <c r="C287" s="4" t="s">
        <v>972</v>
      </c>
      <c r="D287" s="4" t="s">
        <v>973</v>
      </c>
      <c r="E287" s="4" t="s">
        <v>974</v>
      </c>
      <c r="F287" s="4"/>
      <c r="G287" s="4" t="s">
        <v>975</v>
      </c>
      <c r="H287" s="4" t="s">
        <v>26</v>
      </c>
      <c r="I287" s="4" t="str">
        <f>"45619"</f>
        <v>45619</v>
      </c>
      <c r="J287" s="4" t="s">
        <v>976</v>
      </c>
      <c r="K287" s="4" t="str">
        <f>"(P) 740-451-9653 (F) 740-451-0345 (M) 304-416-2950"</f>
        <v>(P) 740-451-9653 (F) 740-451-0345 (M) 304-416-2950</v>
      </c>
      <c r="L287" s="4" t="s">
        <v>977</v>
      </c>
      <c r="M287" s="4" t="s">
        <v>971</v>
      </c>
      <c r="N287" s="4" t="s">
        <v>974</v>
      </c>
      <c r="O287" s="4"/>
      <c r="P287" s="4" t="s">
        <v>975</v>
      </c>
      <c r="Q287" s="4" t="s">
        <v>26</v>
      </c>
      <c r="R287" s="4" t="str">
        <f>"45619"</f>
        <v>45619</v>
      </c>
      <c r="S287" s="4" t="s">
        <v>976</v>
      </c>
      <c r="T287" s="6">
        <v>44196</v>
      </c>
      <c r="U287" s="4" t="s">
        <v>29</v>
      </c>
    </row>
    <row r="288" spans="1:21" s="3" customFormat="1" x14ac:dyDescent="0.3">
      <c r="A288" s="4" t="str">
        <f>"CB000JBF"</f>
        <v>CB000JBF</v>
      </c>
      <c r="B288" s="4" t="s">
        <v>978</v>
      </c>
      <c r="C288" s="4" t="s">
        <v>979</v>
      </c>
      <c r="D288" s="4" t="s">
        <v>980</v>
      </c>
      <c r="E288" s="4" t="s">
        <v>981</v>
      </c>
      <c r="F288" s="4"/>
      <c r="G288" s="4" t="s">
        <v>209</v>
      </c>
      <c r="H288" s="4" t="s">
        <v>26</v>
      </c>
      <c r="I288" s="4" t="str">
        <f>"43123"</f>
        <v>43123</v>
      </c>
      <c r="J288" s="4" t="s">
        <v>210</v>
      </c>
      <c r="K288" s="4" t="str">
        <f>"(P) 614-203-6772"</f>
        <v>(P) 614-203-6772</v>
      </c>
      <c r="L288" s="4" t="s">
        <v>982</v>
      </c>
      <c r="M288" s="4" t="s">
        <v>983</v>
      </c>
      <c r="N288" s="4" t="s">
        <v>981</v>
      </c>
      <c r="O288" s="4"/>
      <c r="P288" s="4" t="s">
        <v>209</v>
      </c>
      <c r="Q288" s="4" t="s">
        <v>26</v>
      </c>
      <c r="R288" s="4" t="str">
        <f>"43123"</f>
        <v>43123</v>
      </c>
      <c r="S288" s="4" t="s">
        <v>210</v>
      </c>
      <c r="T288" s="6">
        <v>44196</v>
      </c>
      <c r="U288" s="4" t="s">
        <v>29</v>
      </c>
    </row>
    <row r="289" spans="1:21" s="3" customFormat="1" ht="28.8" x14ac:dyDescent="0.3">
      <c r="A289" s="4" t="str">
        <f>"CB000JDB"</f>
        <v>CB000JDB</v>
      </c>
      <c r="B289" s="4" t="s">
        <v>984</v>
      </c>
      <c r="C289" s="4" t="s">
        <v>985</v>
      </c>
      <c r="D289" s="4" t="s">
        <v>986</v>
      </c>
      <c r="E289" s="4" t="s">
        <v>987</v>
      </c>
      <c r="F289" s="4"/>
      <c r="G289" s="4" t="s">
        <v>988</v>
      </c>
      <c r="H289" s="4" t="s">
        <v>26</v>
      </c>
      <c r="I289" s="4" t="str">
        <f>"44691"</f>
        <v>44691</v>
      </c>
      <c r="J289" s="4" t="s">
        <v>735</v>
      </c>
      <c r="K289" s="4" t="str">
        <f>"(P) 330-262-0515 (M) 330-466-3667"</f>
        <v>(P) 330-262-0515 (M) 330-466-3667</v>
      </c>
      <c r="L289" s="4" t="s">
        <v>989</v>
      </c>
      <c r="M289" s="4" t="s">
        <v>984</v>
      </c>
      <c r="N289" s="4" t="s">
        <v>987</v>
      </c>
      <c r="O289" s="4"/>
      <c r="P289" s="4" t="s">
        <v>988</v>
      </c>
      <c r="Q289" s="4" t="s">
        <v>26</v>
      </c>
      <c r="R289" s="4" t="str">
        <f>"44691"</f>
        <v>44691</v>
      </c>
      <c r="S289" s="4" t="s">
        <v>735</v>
      </c>
      <c r="T289" s="6">
        <v>44196</v>
      </c>
      <c r="U289" s="4" t="s">
        <v>29</v>
      </c>
    </row>
    <row r="290" spans="1:21" s="3" customFormat="1" ht="28.8" x14ac:dyDescent="0.3">
      <c r="A290" s="4" t="str">
        <f>"CB000JE9"</f>
        <v>CB000JE9</v>
      </c>
      <c r="B290" s="4" t="s">
        <v>990</v>
      </c>
      <c r="C290" s="4" t="s">
        <v>991</v>
      </c>
      <c r="D290" s="4" t="s">
        <v>992</v>
      </c>
      <c r="E290" s="4" t="s">
        <v>993</v>
      </c>
      <c r="F290" s="4"/>
      <c r="G290" s="4" t="s">
        <v>994</v>
      </c>
      <c r="H290" s="4" t="s">
        <v>458</v>
      </c>
      <c r="I290" s="4" t="str">
        <f>"48843"</f>
        <v>48843</v>
      </c>
      <c r="J290" s="4" t="s">
        <v>995</v>
      </c>
      <c r="K290" s="4" t="str">
        <f>"(P) 517-546-8303 (F) 517-546-8306 (M) 810-599-3115"</f>
        <v>(P) 517-546-8303 (F) 517-546-8306 (M) 810-599-3115</v>
      </c>
      <c r="L290" s="4" t="s">
        <v>996</v>
      </c>
      <c r="M290" s="4" t="s">
        <v>990</v>
      </c>
      <c r="N290" s="4" t="s">
        <v>993</v>
      </c>
      <c r="O290" s="4"/>
      <c r="P290" s="4" t="s">
        <v>994</v>
      </c>
      <c r="Q290" s="4" t="s">
        <v>458</v>
      </c>
      <c r="R290" s="4" t="str">
        <f>"48843"</f>
        <v>48843</v>
      </c>
      <c r="S290" s="4" t="s">
        <v>995</v>
      </c>
      <c r="T290" s="6">
        <v>44196</v>
      </c>
      <c r="U290" s="4" t="s">
        <v>29</v>
      </c>
    </row>
    <row r="291" spans="1:21" s="3" customFormat="1" x14ac:dyDescent="0.3">
      <c r="A291" s="4" t="str">
        <f>"CB000JG5"</f>
        <v>CB000JG5</v>
      </c>
      <c r="B291" s="4" t="s">
        <v>1002</v>
      </c>
      <c r="C291" s="4" t="s">
        <v>1003</v>
      </c>
      <c r="D291" s="4" t="s">
        <v>1004</v>
      </c>
      <c r="E291" s="4" t="s">
        <v>1005</v>
      </c>
      <c r="F291" s="4"/>
      <c r="G291" s="4" t="s">
        <v>253</v>
      </c>
      <c r="H291" s="4" t="s">
        <v>26</v>
      </c>
      <c r="I291" s="4" t="str">
        <f>"43214"</f>
        <v>43214</v>
      </c>
      <c r="J291" s="4" t="s">
        <v>210</v>
      </c>
      <c r="K291" s="4" t="str">
        <f>"(M) 614-648-1988"</f>
        <v>(M) 614-648-1988</v>
      </c>
      <c r="L291" s="4" t="s">
        <v>1006</v>
      </c>
      <c r="M291" s="4" t="s">
        <v>1002</v>
      </c>
      <c r="N291" s="4" t="s">
        <v>1005</v>
      </c>
      <c r="O291" s="4"/>
      <c r="P291" s="4" t="s">
        <v>253</v>
      </c>
      <c r="Q291" s="4" t="s">
        <v>26</v>
      </c>
      <c r="R291" s="4" t="str">
        <f>"43214"</f>
        <v>43214</v>
      </c>
      <c r="S291" s="4" t="s">
        <v>210</v>
      </c>
      <c r="T291" s="6">
        <v>44196</v>
      </c>
      <c r="U291" s="4" t="s">
        <v>29</v>
      </c>
    </row>
    <row r="292" spans="1:21" s="3" customFormat="1" ht="28.8" x14ac:dyDescent="0.3">
      <c r="A292" s="4" t="str">
        <f>"CB002A3E"</f>
        <v>CB002A3E</v>
      </c>
      <c r="B292" s="4" t="s">
        <v>1865</v>
      </c>
      <c r="C292" s="4" t="s">
        <v>1866</v>
      </c>
      <c r="D292" s="4" t="s">
        <v>1162</v>
      </c>
      <c r="E292" s="4" t="s">
        <v>1867</v>
      </c>
      <c r="F292" s="4"/>
      <c r="G292" s="4" t="s">
        <v>554</v>
      </c>
      <c r="H292" s="4" t="s">
        <v>26</v>
      </c>
      <c r="I292" s="4" t="str">
        <f>"44053"</f>
        <v>44053</v>
      </c>
      <c r="J292" s="4" t="s">
        <v>377</v>
      </c>
      <c r="K292" s="4" t="str">
        <f>"(P) 440-829-4840"</f>
        <v>(P) 440-829-4840</v>
      </c>
      <c r="L292" s="4" t="s">
        <v>1868</v>
      </c>
      <c r="M292" s="4" t="s">
        <v>1865</v>
      </c>
      <c r="N292" s="4" t="s">
        <v>1867</v>
      </c>
      <c r="O292" s="4"/>
      <c r="P292" s="4" t="s">
        <v>554</v>
      </c>
      <c r="Q292" s="4" t="s">
        <v>26</v>
      </c>
      <c r="R292" s="4" t="str">
        <f>"44053"</f>
        <v>44053</v>
      </c>
      <c r="S292" s="4" t="s">
        <v>377</v>
      </c>
      <c r="T292" s="6">
        <v>44196</v>
      </c>
      <c r="U292" s="4" t="s">
        <v>29</v>
      </c>
    </row>
    <row r="293" spans="1:21" s="3" customFormat="1" ht="28.8" x14ac:dyDescent="0.3">
      <c r="A293" s="4" t="str">
        <f>"CB000JMW"</f>
        <v>CB000JMW</v>
      </c>
      <c r="B293" s="4" t="s">
        <v>1013</v>
      </c>
      <c r="C293" s="4" t="s">
        <v>1014</v>
      </c>
      <c r="D293" s="4" t="s">
        <v>1015</v>
      </c>
      <c r="E293" s="4" t="s">
        <v>1016</v>
      </c>
      <c r="F293" s="4"/>
      <c r="G293" s="4" t="s">
        <v>1017</v>
      </c>
      <c r="H293" s="4" t="s">
        <v>26</v>
      </c>
      <c r="I293" s="4" t="str">
        <f>"45840"</f>
        <v>45840</v>
      </c>
      <c r="J293" s="4" t="s">
        <v>1018</v>
      </c>
      <c r="K293" s="4" t="str">
        <f>"(P) 419-429-8888 (F) 419-429-8465"</f>
        <v>(P) 419-429-8888 (F) 419-429-8465</v>
      </c>
      <c r="L293" s="4" t="s">
        <v>1019</v>
      </c>
      <c r="M293" s="4" t="s">
        <v>1020</v>
      </c>
      <c r="N293" s="4" t="s">
        <v>1016</v>
      </c>
      <c r="O293" s="4"/>
      <c r="P293" s="4" t="s">
        <v>1017</v>
      </c>
      <c r="Q293" s="4" t="s">
        <v>26</v>
      </c>
      <c r="R293" s="4" t="str">
        <f>"45840"</f>
        <v>45840</v>
      </c>
      <c r="S293" s="4" t="s">
        <v>1018</v>
      </c>
      <c r="T293" s="6">
        <v>44196</v>
      </c>
      <c r="U293" s="4" t="s">
        <v>29</v>
      </c>
    </row>
    <row r="294" spans="1:21" s="3" customFormat="1" ht="28.8" x14ac:dyDescent="0.3">
      <c r="A294" s="4" t="str">
        <f>"CB000JNU"</f>
        <v>CB000JNU</v>
      </c>
      <c r="B294" s="4" t="s">
        <v>1021</v>
      </c>
      <c r="C294" s="4" t="s">
        <v>276</v>
      </c>
      <c r="D294" s="4" t="s">
        <v>1022</v>
      </c>
      <c r="E294" s="4" t="s">
        <v>1023</v>
      </c>
      <c r="F294" s="4"/>
      <c r="G294" s="4" t="s">
        <v>1024</v>
      </c>
      <c r="H294" s="4" t="s">
        <v>26</v>
      </c>
      <c r="I294" s="4" t="str">
        <f>"43015"</f>
        <v>43015</v>
      </c>
      <c r="J294" s="4" t="s">
        <v>51</v>
      </c>
      <c r="K294" s="4" t="str">
        <f>"(P) 614-800-1712 (M) 614-530-5092"</f>
        <v>(P) 614-800-1712 (M) 614-530-5092</v>
      </c>
      <c r="L294" s="4" t="s">
        <v>1025</v>
      </c>
      <c r="M294" s="4" t="s">
        <v>1021</v>
      </c>
      <c r="N294" s="4" t="s">
        <v>1026</v>
      </c>
      <c r="O294" s="4"/>
      <c r="P294" s="4" t="s">
        <v>488</v>
      </c>
      <c r="Q294" s="4" t="s">
        <v>26</v>
      </c>
      <c r="R294" s="4" t="str">
        <f>"43064"</f>
        <v>43064</v>
      </c>
      <c r="S294" s="4" t="s">
        <v>489</v>
      </c>
      <c r="T294" s="6">
        <v>44196</v>
      </c>
      <c r="U294" s="4" t="s">
        <v>29</v>
      </c>
    </row>
    <row r="295" spans="1:21" s="3" customFormat="1" x14ac:dyDescent="0.3">
      <c r="A295" s="4" t="str">
        <f>"CB000DND"</f>
        <v>CB000DND</v>
      </c>
      <c r="B295" s="4" t="s">
        <v>503</v>
      </c>
      <c r="C295" s="4" t="s">
        <v>504</v>
      </c>
      <c r="D295" s="4" t="s">
        <v>505</v>
      </c>
      <c r="E295" s="4" t="s">
        <v>506</v>
      </c>
      <c r="F295" s="4"/>
      <c r="G295" s="4" t="s">
        <v>507</v>
      </c>
      <c r="H295" s="4" t="s">
        <v>26</v>
      </c>
      <c r="I295" s="4" t="str">
        <f>"43533"</f>
        <v>43533</v>
      </c>
      <c r="J295" s="4" t="s">
        <v>130</v>
      </c>
      <c r="K295" s="4" t="str">
        <f>"(M) 419-279-3666"</f>
        <v>(M) 419-279-3666</v>
      </c>
      <c r="L295" s="4"/>
      <c r="M295" s="4" t="s">
        <v>503</v>
      </c>
      <c r="N295" s="4" t="s">
        <v>506</v>
      </c>
      <c r="O295" s="4"/>
      <c r="P295" s="4" t="s">
        <v>507</v>
      </c>
      <c r="Q295" s="4" t="s">
        <v>26</v>
      </c>
      <c r="R295" s="4" t="str">
        <f>"43533"</f>
        <v>43533</v>
      </c>
      <c r="S295" s="4" t="s">
        <v>130</v>
      </c>
      <c r="T295" s="6">
        <v>44196</v>
      </c>
      <c r="U295" s="4" t="s">
        <v>29</v>
      </c>
    </row>
    <row r="296" spans="1:21" s="3" customFormat="1" ht="28.8" x14ac:dyDescent="0.3">
      <c r="A296" s="4" t="str">
        <f>"CB001F6V"</f>
        <v>CB001F6V</v>
      </c>
      <c r="B296" s="4" t="s">
        <v>1716</v>
      </c>
      <c r="C296" s="4" t="s">
        <v>1717</v>
      </c>
      <c r="D296" s="4" t="s">
        <v>1718</v>
      </c>
      <c r="E296" s="4" t="s">
        <v>1719</v>
      </c>
      <c r="F296" s="4"/>
      <c r="G296" s="4" t="s">
        <v>253</v>
      </c>
      <c r="H296" s="4" t="s">
        <v>26</v>
      </c>
      <c r="I296" s="4" t="str">
        <f>"43209"</f>
        <v>43209</v>
      </c>
      <c r="J296" s="4" t="s">
        <v>210</v>
      </c>
      <c r="K296" s="4" t="str">
        <f>"(P) 614-852-8330"</f>
        <v>(P) 614-852-8330</v>
      </c>
      <c r="L296" s="4" t="s">
        <v>1720</v>
      </c>
      <c r="M296" s="4" t="s">
        <v>1716</v>
      </c>
      <c r="N296" s="4" t="s">
        <v>1721</v>
      </c>
      <c r="O296" s="4"/>
      <c r="P296" s="4" t="s">
        <v>253</v>
      </c>
      <c r="Q296" s="4" t="s">
        <v>26</v>
      </c>
      <c r="R296" s="4" t="str">
        <f>"43202"</f>
        <v>43202</v>
      </c>
      <c r="S296" s="4" t="s">
        <v>210</v>
      </c>
      <c r="T296" s="6">
        <v>44196</v>
      </c>
      <c r="U296" s="4" t="s">
        <v>29</v>
      </c>
    </row>
    <row r="297" spans="1:21" s="3" customFormat="1" ht="28.8" x14ac:dyDescent="0.3">
      <c r="A297" s="4" t="str">
        <f>"CB000JSL"</f>
        <v>CB000JSL</v>
      </c>
      <c r="B297" s="4" t="s">
        <v>1032</v>
      </c>
      <c r="C297" s="4" t="s">
        <v>1033</v>
      </c>
      <c r="D297" s="4" t="s">
        <v>1034</v>
      </c>
      <c r="E297" s="4" t="s">
        <v>1035</v>
      </c>
      <c r="F297" s="4"/>
      <c r="G297" s="4" t="s">
        <v>45</v>
      </c>
      <c r="H297" s="4" t="s">
        <v>26</v>
      </c>
      <c r="I297" s="4" t="str">
        <f>"44070"</f>
        <v>44070</v>
      </c>
      <c r="J297" s="4" t="s">
        <v>43</v>
      </c>
      <c r="K297" s="4" t="str">
        <f>"(P) 216-369-9141 (M) 440-732-6353"</f>
        <v>(P) 216-369-9141 (M) 440-732-6353</v>
      </c>
      <c r="L297" s="4" t="s">
        <v>1036</v>
      </c>
      <c r="M297" s="4" t="s">
        <v>1032</v>
      </c>
      <c r="N297" s="4" t="s">
        <v>1035</v>
      </c>
      <c r="O297" s="4"/>
      <c r="P297" s="4" t="s">
        <v>42</v>
      </c>
      <c r="Q297" s="4" t="s">
        <v>26</v>
      </c>
      <c r="R297" s="4" t="str">
        <f>"44070"</f>
        <v>44070</v>
      </c>
      <c r="S297" s="4" t="s">
        <v>43</v>
      </c>
      <c r="T297" s="6">
        <v>44196</v>
      </c>
      <c r="U297" s="4" t="s">
        <v>29</v>
      </c>
    </row>
    <row r="298" spans="1:21" s="3" customFormat="1" x14ac:dyDescent="0.3">
      <c r="A298" s="4" t="str">
        <f>"CB0019C8"</f>
        <v>CB0019C8</v>
      </c>
      <c r="B298" s="4" t="s">
        <v>1591</v>
      </c>
      <c r="C298" s="4" t="s">
        <v>1592</v>
      </c>
      <c r="D298" s="4" t="s">
        <v>1593</v>
      </c>
      <c r="E298" s="4" t="s">
        <v>1594</v>
      </c>
      <c r="F298" s="4"/>
      <c r="G298" s="4" t="s">
        <v>1595</v>
      </c>
      <c r="H298" s="4" t="s">
        <v>26</v>
      </c>
      <c r="I298" s="4" t="str">
        <f>"43950"</f>
        <v>43950</v>
      </c>
      <c r="J298" s="4" t="s">
        <v>1596</v>
      </c>
      <c r="K298" s="4" t="str">
        <f>"(P) 304-312-6882"</f>
        <v>(P) 304-312-6882</v>
      </c>
      <c r="L298" s="4" t="s">
        <v>1597</v>
      </c>
      <c r="M298" s="4" t="s">
        <v>1591</v>
      </c>
      <c r="N298" s="4" t="s">
        <v>1594</v>
      </c>
      <c r="O298" s="4"/>
      <c r="P298" s="4" t="s">
        <v>1595</v>
      </c>
      <c r="Q298" s="4" t="s">
        <v>26</v>
      </c>
      <c r="R298" s="4" t="str">
        <f>"43950"</f>
        <v>43950</v>
      </c>
      <c r="S298" s="4" t="s">
        <v>1596</v>
      </c>
      <c r="T298" s="6">
        <v>44196</v>
      </c>
      <c r="U298" s="4" t="s">
        <v>29</v>
      </c>
    </row>
    <row r="299" spans="1:21" s="3" customFormat="1" x14ac:dyDescent="0.3">
      <c r="A299" s="4" t="str">
        <f>"CB000JTJ"</f>
        <v>CB000JTJ</v>
      </c>
      <c r="B299" s="4" t="s">
        <v>1037</v>
      </c>
      <c r="C299" s="4" t="s">
        <v>117</v>
      </c>
      <c r="D299" s="4" t="s">
        <v>1038</v>
      </c>
      <c r="E299" s="4" t="s">
        <v>1039</v>
      </c>
      <c r="F299" s="4"/>
      <c r="G299" s="4" t="s">
        <v>383</v>
      </c>
      <c r="H299" s="4" t="s">
        <v>26</v>
      </c>
      <c r="I299" s="4" t="str">
        <f>"44109"</f>
        <v>44109</v>
      </c>
      <c r="J299" s="4" t="s">
        <v>43</v>
      </c>
      <c r="K299" s="4" t="str">
        <f>"(P) 216-485-9233"</f>
        <v>(P) 216-485-9233</v>
      </c>
      <c r="L299" s="4" t="s">
        <v>1040</v>
      </c>
      <c r="M299" s="4" t="s">
        <v>1037</v>
      </c>
      <c r="N299" s="4" t="s">
        <v>1039</v>
      </c>
      <c r="O299" s="4"/>
      <c r="P299" s="4" t="s">
        <v>383</v>
      </c>
      <c r="Q299" s="4" t="s">
        <v>26</v>
      </c>
      <c r="R299" s="4" t="str">
        <f>"44109"</f>
        <v>44109</v>
      </c>
      <c r="S299" s="4" t="s">
        <v>43</v>
      </c>
      <c r="T299" s="6">
        <v>44196</v>
      </c>
      <c r="U299" s="4" t="s">
        <v>29</v>
      </c>
    </row>
    <row r="300" spans="1:21" s="3" customFormat="1" x14ac:dyDescent="0.3">
      <c r="A300" s="4" t="str">
        <f>"CB000JWC"</f>
        <v>CB000JWC</v>
      </c>
      <c r="B300" s="4" t="s">
        <v>1052</v>
      </c>
      <c r="C300" s="4" t="s">
        <v>1053</v>
      </c>
      <c r="D300" s="4" t="s">
        <v>1054</v>
      </c>
      <c r="E300" s="4" t="s">
        <v>1055</v>
      </c>
      <c r="F300" s="4"/>
      <c r="G300" s="4" t="s">
        <v>1056</v>
      </c>
      <c r="H300" s="4" t="s">
        <v>26</v>
      </c>
      <c r="I300" s="4" t="str">
        <f>"43338"</f>
        <v>43338</v>
      </c>
      <c r="J300" s="4" t="s">
        <v>273</v>
      </c>
      <c r="K300" s="4" t="str">
        <f>"(M) 614-205-9428"</f>
        <v>(M) 614-205-9428</v>
      </c>
      <c r="L300" s="4" t="s">
        <v>1057</v>
      </c>
      <c r="M300" s="4" t="s">
        <v>1052</v>
      </c>
      <c r="N300" s="4" t="s">
        <v>1055</v>
      </c>
      <c r="O300" s="4"/>
      <c r="P300" s="4" t="s">
        <v>1056</v>
      </c>
      <c r="Q300" s="4" t="s">
        <v>26</v>
      </c>
      <c r="R300" s="4" t="str">
        <f>"43338"</f>
        <v>43338</v>
      </c>
      <c r="S300" s="4" t="s">
        <v>273</v>
      </c>
      <c r="T300" s="6">
        <v>44196</v>
      </c>
      <c r="U300" s="4" t="s">
        <v>29</v>
      </c>
    </row>
    <row r="301" spans="1:21" s="3" customFormat="1" ht="28.8" x14ac:dyDescent="0.3">
      <c r="A301" s="4" t="str">
        <f>"CB000JY8"</f>
        <v>CB000JY8</v>
      </c>
      <c r="B301" s="4" t="s">
        <v>1058</v>
      </c>
      <c r="C301" s="4" t="s">
        <v>1059</v>
      </c>
      <c r="D301" s="4" t="s">
        <v>1060</v>
      </c>
      <c r="E301" s="4" t="s">
        <v>1061</v>
      </c>
      <c r="F301" s="4"/>
      <c r="G301" s="4" t="s">
        <v>1062</v>
      </c>
      <c r="H301" s="4" t="s">
        <v>26</v>
      </c>
      <c r="I301" s="4" t="str">
        <f>"45769"</f>
        <v>45769</v>
      </c>
      <c r="J301" s="4" t="s">
        <v>520</v>
      </c>
      <c r="K301" s="4" t="str">
        <f>"(P) 740-992-4296"</f>
        <v>(P) 740-992-4296</v>
      </c>
      <c r="L301" s="4"/>
      <c r="M301" s="4" t="s">
        <v>1058</v>
      </c>
      <c r="N301" s="4" t="s">
        <v>1061</v>
      </c>
      <c r="O301" s="4"/>
      <c r="P301" s="4" t="s">
        <v>1062</v>
      </c>
      <c r="Q301" s="4" t="s">
        <v>26</v>
      </c>
      <c r="R301" s="4" t="str">
        <f>"45769"</f>
        <v>45769</v>
      </c>
      <c r="S301" s="4" t="s">
        <v>520</v>
      </c>
      <c r="T301" s="6">
        <v>44196</v>
      </c>
      <c r="U301" s="4" t="s">
        <v>29</v>
      </c>
    </row>
    <row r="302" spans="1:21" s="3" customFormat="1" x14ac:dyDescent="0.3">
      <c r="A302" s="4" t="str">
        <f>"CB000JK0"</f>
        <v>CB000JK0</v>
      </c>
      <c r="B302" s="4" t="s">
        <v>1007</v>
      </c>
      <c r="C302" s="4" t="s">
        <v>1008</v>
      </c>
      <c r="D302" s="4" t="s">
        <v>1009</v>
      </c>
      <c r="E302" s="4" t="s">
        <v>1010</v>
      </c>
      <c r="F302" s="4"/>
      <c r="G302" s="4" t="s">
        <v>1011</v>
      </c>
      <c r="H302" s="4" t="s">
        <v>26</v>
      </c>
      <c r="I302" s="4" t="str">
        <f>"43822"</f>
        <v>43822</v>
      </c>
      <c r="J302" s="4" t="s">
        <v>1012</v>
      </c>
      <c r="K302" s="4" t="str">
        <f>"(M) 740-281-7096"</f>
        <v>(M) 740-281-7096</v>
      </c>
      <c r="L302" s="4"/>
      <c r="M302" s="4" t="s">
        <v>1007</v>
      </c>
      <c r="N302" s="4" t="s">
        <v>1010</v>
      </c>
      <c r="O302" s="4"/>
      <c r="P302" s="4" t="s">
        <v>1011</v>
      </c>
      <c r="Q302" s="4" t="s">
        <v>26</v>
      </c>
      <c r="R302" s="4" t="str">
        <f>"43822"</f>
        <v>43822</v>
      </c>
      <c r="S302" s="4" t="s">
        <v>1012</v>
      </c>
      <c r="T302" s="6">
        <v>44196</v>
      </c>
      <c r="U302" s="4" t="s">
        <v>29</v>
      </c>
    </row>
    <row r="303" spans="1:21" s="3" customFormat="1" ht="28.8" x14ac:dyDescent="0.3">
      <c r="A303" s="4" t="str">
        <f>"CB0029B2"</f>
        <v>CB0029B2</v>
      </c>
      <c r="B303" s="4" t="s">
        <v>1837</v>
      </c>
      <c r="C303" s="4" t="s">
        <v>1838</v>
      </c>
      <c r="D303" s="4" t="s">
        <v>1839</v>
      </c>
      <c r="E303" s="4" t="s">
        <v>1840</v>
      </c>
      <c r="F303" s="4"/>
      <c r="G303" s="4" t="s">
        <v>357</v>
      </c>
      <c r="H303" s="4" t="s">
        <v>26</v>
      </c>
      <c r="I303" s="4" t="str">
        <f>"43609"</f>
        <v>43609</v>
      </c>
      <c r="J303" s="4" t="s">
        <v>358</v>
      </c>
      <c r="K303" s="4" t="str">
        <f>"(P) 419-382-1130 (F) 419-382-7248"</f>
        <v>(P) 419-382-1130 (F) 419-382-7248</v>
      </c>
      <c r="L303" s="4" t="s">
        <v>1841</v>
      </c>
      <c r="M303" s="4" t="s">
        <v>1837</v>
      </c>
      <c r="N303" s="4" t="s">
        <v>1840</v>
      </c>
      <c r="O303" s="4"/>
      <c r="P303" s="4" t="s">
        <v>357</v>
      </c>
      <c r="Q303" s="4" t="s">
        <v>26</v>
      </c>
      <c r="R303" s="4" t="str">
        <f>"43609"</f>
        <v>43609</v>
      </c>
      <c r="S303" s="4" t="s">
        <v>358</v>
      </c>
      <c r="T303" s="6">
        <v>44196</v>
      </c>
      <c r="U303" s="4" t="s">
        <v>29</v>
      </c>
    </row>
    <row r="304" spans="1:21" s="3" customFormat="1" ht="28.8" x14ac:dyDescent="0.3">
      <c r="A304" s="4" t="str">
        <f>"CB000KV8"</f>
        <v>CB000KV8</v>
      </c>
      <c r="B304" s="4" t="s">
        <v>1124</v>
      </c>
      <c r="C304" s="4" t="s">
        <v>326</v>
      </c>
      <c r="D304" s="4" t="s">
        <v>1125</v>
      </c>
      <c r="E304" s="4" t="s">
        <v>1126</v>
      </c>
      <c r="F304" s="4"/>
      <c r="G304" s="4" t="s">
        <v>357</v>
      </c>
      <c r="H304" s="4" t="s">
        <v>26</v>
      </c>
      <c r="I304" s="4" t="str">
        <f>"43616"</f>
        <v>43616</v>
      </c>
      <c r="J304" s="4" t="s">
        <v>358</v>
      </c>
      <c r="K304" s="4" t="str">
        <f>"(P) 567-315-8051 (F) 567-225-3046 (M) 419-704-2216"</f>
        <v>(P) 567-315-8051 (F) 567-225-3046 (M) 419-704-2216</v>
      </c>
      <c r="L304" s="4" t="s">
        <v>1127</v>
      </c>
      <c r="M304" s="4" t="s">
        <v>1124</v>
      </c>
      <c r="N304" s="4" t="s">
        <v>1128</v>
      </c>
      <c r="O304" s="4"/>
      <c r="P304" s="4" t="s">
        <v>357</v>
      </c>
      <c r="Q304" s="4" t="s">
        <v>26</v>
      </c>
      <c r="R304" s="4" t="str">
        <f>"43616"</f>
        <v>43616</v>
      </c>
      <c r="S304" s="4" t="s">
        <v>358</v>
      </c>
      <c r="T304" s="6">
        <v>44196</v>
      </c>
      <c r="U304" s="4" t="s">
        <v>29</v>
      </c>
    </row>
    <row r="305" spans="1:21" s="3" customFormat="1" ht="28.8" x14ac:dyDescent="0.3">
      <c r="A305" s="4" t="str">
        <f>"CB000K0X"</f>
        <v>CB000K0X</v>
      </c>
      <c r="B305" s="4" t="s">
        <v>1063</v>
      </c>
      <c r="C305" s="4" t="s">
        <v>1064</v>
      </c>
      <c r="D305" s="4" t="s">
        <v>1065</v>
      </c>
      <c r="E305" s="4" t="s">
        <v>1066</v>
      </c>
      <c r="F305" s="4"/>
      <c r="G305" s="4" t="s">
        <v>1067</v>
      </c>
      <c r="H305" s="4" t="s">
        <v>26</v>
      </c>
      <c r="I305" s="4" t="str">
        <f>"43004"</f>
        <v>43004</v>
      </c>
      <c r="J305" s="4" t="s">
        <v>210</v>
      </c>
      <c r="K305" s="4" t="str">
        <f>"(P) 614-775-0435 (M) 614-619-1296"</f>
        <v>(P) 614-775-0435 (M) 614-619-1296</v>
      </c>
      <c r="L305" s="4" t="s">
        <v>1068</v>
      </c>
      <c r="M305" s="4" t="s">
        <v>1063</v>
      </c>
      <c r="N305" s="4" t="s">
        <v>1066</v>
      </c>
      <c r="O305" s="4"/>
      <c r="P305" s="4" t="s">
        <v>1067</v>
      </c>
      <c r="Q305" s="4" t="s">
        <v>26</v>
      </c>
      <c r="R305" s="4" t="str">
        <f>"43004"</f>
        <v>43004</v>
      </c>
      <c r="S305" s="4" t="s">
        <v>210</v>
      </c>
      <c r="T305" s="6">
        <v>44196</v>
      </c>
      <c r="U305" s="4" t="s">
        <v>29</v>
      </c>
    </row>
    <row r="306" spans="1:21" s="3" customFormat="1" x14ac:dyDescent="0.3">
      <c r="A306" s="4" t="str">
        <f>"CB0013ME"</f>
        <v>CB0013ME</v>
      </c>
      <c r="B306" s="4" t="s">
        <v>1488</v>
      </c>
      <c r="C306" s="4" t="s">
        <v>61</v>
      </c>
      <c r="D306" s="4" t="s">
        <v>1489</v>
      </c>
      <c r="E306" s="4" t="s">
        <v>1490</v>
      </c>
      <c r="F306" s="4"/>
      <c r="G306" s="4" t="s">
        <v>1491</v>
      </c>
      <c r="H306" s="4" t="s">
        <v>26</v>
      </c>
      <c r="I306" s="4" t="str">
        <f>"44444"</f>
        <v>44444</v>
      </c>
      <c r="J306" s="4" t="s">
        <v>602</v>
      </c>
      <c r="K306" s="4" t="str">
        <f>"(M) 330-984-1087"</f>
        <v>(M) 330-984-1087</v>
      </c>
      <c r="L306" s="4" t="s">
        <v>1492</v>
      </c>
      <c r="M306" s="4" t="s">
        <v>1488</v>
      </c>
      <c r="N306" s="4" t="s">
        <v>1490</v>
      </c>
      <c r="O306" s="4"/>
      <c r="P306" s="4" t="s">
        <v>1491</v>
      </c>
      <c r="Q306" s="4" t="s">
        <v>26</v>
      </c>
      <c r="R306" s="4" t="str">
        <f>"44444"</f>
        <v>44444</v>
      </c>
      <c r="S306" s="4" t="s">
        <v>602</v>
      </c>
      <c r="T306" s="6">
        <v>44196</v>
      </c>
      <c r="U306" s="4" t="s">
        <v>29</v>
      </c>
    </row>
    <row r="307" spans="1:21" s="3" customFormat="1" x14ac:dyDescent="0.3">
      <c r="A307" s="4" t="str">
        <f>"CB00143B"</f>
        <v>CB00143B</v>
      </c>
      <c r="B307" s="4" t="s">
        <v>1526</v>
      </c>
      <c r="C307" s="4" t="s">
        <v>1527</v>
      </c>
      <c r="D307" s="4" t="s">
        <v>1528</v>
      </c>
      <c r="E307" s="4" t="s">
        <v>1529</v>
      </c>
      <c r="F307" s="4"/>
      <c r="G307" s="4" t="s">
        <v>862</v>
      </c>
      <c r="H307" s="4" t="s">
        <v>26</v>
      </c>
      <c r="I307" s="4" t="str">
        <f>"44311"</f>
        <v>44311</v>
      </c>
      <c r="J307" s="4" t="s">
        <v>217</v>
      </c>
      <c r="K307" s="4" t="str">
        <f>"(P) 330-208-8106"</f>
        <v>(P) 330-208-8106</v>
      </c>
      <c r="L307" s="4" t="s">
        <v>1530</v>
      </c>
      <c r="M307" s="4" t="s">
        <v>1526</v>
      </c>
      <c r="N307" s="4" t="s">
        <v>1529</v>
      </c>
      <c r="O307" s="4"/>
      <c r="P307" s="4" t="s">
        <v>862</v>
      </c>
      <c r="Q307" s="4" t="s">
        <v>26</v>
      </c>
      <c r="R307" s="4" t="str">
        <f>"44311"</f>
        <v>44311</v>
      </c>
      <c r="S307" s="4" t="s">
        <v>217</v>
      </c>
      <c r="T307" s="6">
        <v>44196</v>
      </c>
      <c r="U307" s="4" t="s">
        <v>29</v>
      </c>
    </row>
    <row r="308" spans="1:21" s="3" customFormat="1" x14ac:dyDescent="0.3">
      <c r="A308" s="4" t="str">
        <f>"CB000K6K"</f>
        <v>CB000K6K</v>
      </c>
      <c r="B308" s="4" t="s">
        <v>1069</v>
      </c>
      <c r="C308" s="4" t="s">
        <v>580</v>
      </c>
      <c r="D308" s="4" t="s">
        <v>1070</v>
      </c>
      <c r="E308" s="4" t="s">
        <v>1071</v>
      </c>
      <c r="F308" s="4"/>
      <c r="G308" s="4" t="s">
        <v>1072</v>
      </c>
      <c r="H308" s="4" t="s">
        <v>26</v>
      </c>
      <c r="I308" s="4" t="str">
        <f>"44139"</f>
        <v>44139</v>
      </c>
      <c r="J308" s="4" t="s">
        <v>43</v>
      </c>
      <c r="K308" s="4" t="str">
        <f>"(P) 440-232-9124"</f>
        <v>(P) 440-232-9124</v>
      </c>
      <c r="L308" s="4" t="s">
        <v>1073</v>
      </c>
      <c r="M308" s="4" t="s">
        <v>1069</v>
      </c>
      <c r="N308" s="4" t="s">
        <v>1074</v>
      </c>
      <c r="O308" s="4"/>
      <c r="P308" s="4" t="s">
        <v>1075</v>
      </c>
      <c r="Q308" s="4" t="s">
        <v>26</v>
      </c>
      <c r="R308" s="4" t="str">
        <f>"44062"</f>
        <v>44062</v>
      </c>
      <c r="S308" s="4" t="s">
        <v>43</v>
      </c>
      <c r="T308" s="6">
        <v>44196</v>
      </c>
      <c r="U308" s="4" t="s">
        <v>29</v>
      </c>
    </row>
    <row r="309" spans="1:21" s="3" customFormat="1" x14ac:dyDescent="0.3">
      <c r="A309" s="4" t="str">
        <f>"CB002ABX"</f>
        <v>CB002ABX</v>
      </c>
      <c r="B309" s="4" t="s">
        <v>1893</v>
      </c>
      <c r="C309" s="4" t="s">
        <v>1894</v>
      </c>
      <c r="D309" s="4" t="s">
        <v>1895</v>
      </c>
      <c r="E309" s="4" t="s">
        <v>1896</v>
      </c>
      <c r="F309" s="4"/>
      <c r="G309" s="4" t="s">
        <v>787</v>
      </c>
      <c r="H309" s="4" t="s">
        <v>26</v>
      </c>
      <c r="I309" s="4" t="str">
        <f>"43026"</f>
        <v>43026</v>
      </c>
      <c r="J309" s="4" t="s">
        <v>210</v>
      </c>
      <c r="K309" s="4" t="str">
        <f>"(P) 614-905-2291"</f>
        <v>(P) 614-905-2291</v>
      </c>
      <c r="L309" s="4" t="s">
        <v>1897</v>
      </c>
      <c r="M309" s="4" t="s">
        <v>1893</v>
      </c>
      <c r="N309" s="4" t="s">
        <v>1896</v>
      </c>
      <c r="O309" s="4"/>
      <c r="P309" s="4" t="s">
        <v>787</v>
      </c>
      <c r="Q309" s="4" t="s">
        <v>26</v>
      </c>
      <c r="R309" s="4" t="str">
        <f>"43026"</f>
        <v>43026</v>
      </c>
      <c r="S309" s="4" t="s">
        <v>210</v>
      </c>
      <c r="T309" s="6">
        <v>44196</v>
      </c>
      <c r="U309" s="4" t="s">
        <v>29</v>
      </c>
    </row>
    <row r="310" spans="1:21" s="3" customFormat="1" x14ac:dyDescent="0.3">
      <c r="A310" s="4" t="str">
        <f>"CB000KMQ"</f>
        <v>CB000KMQ</v>
      </c>
      <c r="B310" s="4" t="s">
        <v>1110</v>
      </c>
      <c r="C310" s="4" t="s">
        <v>1111</v>
      </c>
      <c r="D310" s="4" t="s">
        <v>1112</v>
      </c>
      <c r="E310" s="4" t="s">
        <v>1113</v>
      </c>
      <c r="F310" s="4"/>
      <c r="G310" s="4" t="s">
        <v>988</v>
      </c>
      <c r="H310" s="4" t="s">
        <v>26</v>
      </c>
      <c r="I310" s="4" t="str">
        <f>"44691"</f>
        <v>44691</v>
      </c>
      <c r="J310" s="4" t="s">
        <v>735</v>
      </c>
      <c r="K310" s="4" t="str">
        <f>"(P) 330-464-1404"</f>
        <v>(P) 330-464-1404</v>
      </c>
      <c r="L310" s="4" t="s">
        <v>1114</v>
      </c>
      <c r="M310" s="4" t="s">
        <v>1110</v>
      </c>
      <c r="N310" s="4" t="s">
        <v>1113</v>
      </c>
      <c r="O310" s="4"/>
      <c r="P310" s="4" t="s">
        <v>988</v>
      </c>
      <c r="Q310" s="4" t="s">
        <v>26</v>
      </c>
      <c r="R310" s="4" t="str">
        <f>"44691"</f>
        <v>44691</v>
      </c>
      <c r="S310" s="4" t="s">
        <v>735</v>
      </c>
      <c r="T310" s="6">
        <v>44196</v>
      </c>
      <c r="U310" s="4" t="s">
        <v>29</v>
      </c>
    </row>
    <row r="311" spans="1:21" s="3" customFormat="1" ht="28.8" x14ac:dyDescent="0.3">
      <c r="A311" s="4" t="str">
        <f>"CB000KAB"</f>
        <v>CB000KAB</v>
      </c>
      <c r="B311" s="4" t="s">
        <v>1076</v>
      </c>
      <c r="C311" s="4" t="s">
        <v>454</v>
      </c>
      <c r="D311" s="4" t="s">
        <v>1077</v>
      </c>
      <c r="E311" s="4" t="s">
        <v>1078</v>
      </c>
      <c r="F311" s="4"/>
      <c r="G311" s="4" t="s">
        <v>1079</v>
      </c>
      <c r="H311" s="4" t="s">
        <v>26</v>
      </c>
      <c r="I311" s="4" t="str">
        <f>"44481"</f>
        <v>44481</v>
      </c>
      <c r="J311" s="4" t="s">
        <v>602</v>
      </c>
      <c r="K311" s="4" t="str">
        <f>"(P) 330-898-0090 (M) 234-600-6940"</f>
        <v>(P) 330-898-0090 (M) 234-600-6940</v>
      </c>
      <c r="L311" s="4" t="s">
        <v>1080</v>
      </c>
      <c r="M311" s="4" t="s">
        <v>1076</v>
      </c>
      <c r="N311" s="4" t="s">
        <v>1078</v>
      </c>
      <c r="O311" s="4"/>
      <c r="P311" s="4" t="s">
        <v>1079</v>
      </c>
      <c r="Q311" s="4" t="s">
        <v>26</v>
      </c>
      <c r="R311" s="4" t="str">
        <f>"44481"</f>
        <v>44481</v>
      </c>
      <c r="S311" s="4" t="s">
        <v>602</v>
      </c>
      <c r="T311" s="6">
        <v>44196</v>
      </c>
      <c r="U311" s="4" t="s">
        <v>29</v>
      </c>
    </row>
    <row r="312" spans="1:21" s="3" customFormat="1" x14ac:dyDescent="0.3">
      <c r="A312" s="4" t="str">
        <f>"CB000KB9"</f>
        <v>CB000KB9</v>
      </c>
      <c r="B312" s="4" t="s">
        <v>1081</v>
      </c>
      <c r="C312" s="4" t="s">
        <v>161</v>
      </c>
      <c r="D312" s="4" t="s">
        <v>1082</v>
      </c>
      <c r="E312" s="4" t="s">
        <v>1083</v>
      </c>
      <c r="F312" s="4"/>
      <c r="G312" s="4" t="s">
        <v>472</v>
      </c>
      <c r="H312" s="4" t="s">
        <v>26</v>
      </c>
      <c r="I312" s="4" t="str">
        <f>"45243"</f>
        <v>45243</v>
      </c>
      <c r="J312" s="4" t="s">
        <v>473</v>
      </c>
      <c r="K312" s="4" t="str">
        <f>""</f>
        <v/>
      </c>
      <c r="L312" s="4" t="s">
        <v>1084</v>
      </c>
      <c r="M312" s="4" t="s">
        <v>1081</v>
      </c>
      <c r="N312" s="4" t="s">
        <v>1083</v>
      </c>
      <c r="O312" s="4"/>
      <c r="P312" s="4" t="s">
        <v>472</v>
      </c>
      <c r="Q312" s="4" t="s">
        <v>26</v>
      </c>
      <c r="R312" s="4" t="str">
        <f>"45243"</f>
        <v>45243</v>
      </c>
      <c r="S312" s="4" t="s">
        <v>473</v>
      </c>
      <c r="T312" s="6">
        <v>44196</v>
      </c>
      <c r="U312" s="4" t="s">
        <v>29</v>
      </c>
    </row>
    <row r="313" spans="1:21" s="3" customFormat="1" ht="28.8" x14ac:dyDescent="0.3">
      <c r="A313" s="4" t="str">
        <f>"CB000KX4"</f>
        <v>CB000KX4</v>
      </c>
      <c r="B313" s="4" t="s">
        <v>1129</v>
      </c>
      <c r="C313" s="4" t="s">
        <v>1130</v>
      </c>
      <c r="D313" s="4" t="s">
        <v>1131</v>
      </c>
      <c r="E313" s="4" t="s">
        <v>1132</v>
      </c>
      <c r="F313" s="4"/>
      <c r="G313" s="4" t="s">
        <v>1133</v>
      </c>
      <c r="H313" s="4" t="s">
        <v>1134</v>
      </c>
      <c r="I313" s="4" t="str">
        <f>"38320"</f>
        <v>38320</v>
      </c>
      <c r="J313" s="4" t="s">
        <v>1135</v>
      </c>
      <c r="K313" s="4" t="str">
        <f>"(P) 731-584-6530 (M) 731-584-5844"</f>
        <v>(P) 731-584-6530 (M) 731-584-5844</v>
      </c>
      <c r="L313" s="4" t="s">
        <v>1136</v>
      </c>
      <c r="M313" s="4" t="s">
        <v>1129</v>
      </c>
      <c r="N313" s="4" t="s">
        <v>1132</v>
      </c>
      <c r="O313" s="4"/>
      <c r="P313" s="4" t="s">
        <v>1133</v>
      </c>
      <c r="Q313" s="4" t="s">
        <v>1134</v>
      </c>
      <c r="R313" s="4" t="str">
        <f>"38320"</f>
        <v>38320</v>
      </c>
      <c r="S313" s="4" t="s">
        <v>1135</v>
      </c>
      <c r="T313" s="6">
        <v>44196</v>
      </c>
      <c r="U313" s="4" t="s">
        <v>29</v>
      </c>
    </row>
    <row r="314" spans="1:21" s="3" customFormat="1" ht="28.8" x14ac:dyDescent="0.3">
      <c r="A314" s="4" t="str">
        <f>"CB000KC7"</f>
        <v>CB000KC7</v>
      </c>
      <c r="B314" s="4" t="s">
        <v>1085</v>
      </c>
      <c r="C314" s="4" t="s">
        <v>1086</v>
      </c>
      <c r="D314" s="4" t="s">
        <v>1087</v>
      </c>
      <c r="E314" s="4" t="s">
        <v>1088</v>
      </c>
      <c r="F314" s="4"/>
      <c r="G314" s="4" t="s">
        <v>722</v>
      </c>
      <c r="H314" s="4" t="s">
        <v>26</v>
      </c>
      <c r="I314" s="4" t="str">
        <f>"44657"</f>
        <v>44657</v>
      </c>
      <c r="J314" s="4" t="s">
        <v>98</v>
      </c>
      <c r="K314" s="4" t="str">
        <f>"(P) 330-862-5001"</f>
        <v>(P) 330-862-5001</v>
      </c>
      <c r="L314" s="4"/>
      <c r="M314" s="4" t="s">
        <v>1085</v>
      </c>
      <c r="N314" s="4" t="s">
        <v>1088</v>
      </c>
      <c r="O314" s="4"/>
      <c r="P314" s="4" t="s">
        <v>722</v>
      </c>
      <c r="Q314" s="4" t="s">
        <v>26</v>
      </c>
      <c r="R314" s="4" t="str">
        <f>"44657"</f>
        <v>44657</v>
      </c>
      <c r="S314" s="4" t="s">
        <v>98</v>
      </c>
      <c r="T314" s="6">
        <v>44196</v>
      </c>
      <c r="U314" s="4" t="s">
        <v>29</v>
      </c>
    </row>
    <row r="315" spans="1:21" s="3" customFormat="1" x14ac:dyDescent="0.3">
      <c r="A315" s="4" t="str">
        <f>"CB000KD5"</f>
        <v>CB000KD5</v>
      </c>
      <c r="B315" s="4" t="s">
        <v>1089</v>
      </c>
      <c r="C315" s="4" t="s">
        <v>1090</v>
      </c>
      <c r="D315" s="4" t="s">
        <v>1091</v>
      </c>
      <c r="E315" s="4" t="s">
        <v>1092</v>
      </c>
      <c r="F315" s="4"/>
      <c r="G315" s="4" t="s">
        <v>70</v>
      </c>
      <c r="H315" s="4" t="s">
        <v>26</v>
      </c>
      <c r="I315" s="4" t="str">
        <f>"44024"</f>
        <v>44024</v>
      </c>
      <c r="J315" s="4" t="s">
        <v>71</v>
      </c>
      <c r="K315" s="4" t="str">
        <f>"(P) 440-520-3154"</f>
        <v>(P) 440-520-3154</v>
      </c>
      <c r="L315" s="4" t="s">
        <v>1093</v>
      </c>
      <c r="M315" s="4" t="s">
        <v>1089</v>
      </c>
      <c r="N315" s="4" t="s">
        <v>1092</v>
      </c>
      <c r="O315" s="4"/>
      <c r="P315" s="4" t="s">
        <v>70</v>
      </c>
      <c r="Q315" s="4" t="s">
        <v>26</v>
      </c>
      <c r="R315" s="4" t="str">
        <f>"44024"</f>
        <v>44024</v>
      </c>
      <c r="S315" s="4" t="s">
        <v>71</v>
      </c>
      <c r="T315" s="6">
        <v>44196</v>
      </c>
      <c r="U315" s="4" t="s">
        <v>29</v>
      </c>
    </row>
    <row r="316" spans="1:21" s="3" customFormat="1" ht="28.8" x14ac:dyDescent="0.3">
      <c r="A316" s="4" t="str">
        <f>"CB001BND"</f>
        <v>CB001BND</v>
      </c>
      <c r="B316" s="4" t="s">
        <v>1661</v>
      </c>
      <c r="C316" s="4" t="s">
        <v>1662</v>
      </c>
      <c r="D316" s="4" t="s">
        <v>1663</v>
      </c>
      <c r="E316" s="4" t="s">
        <v>1664</v>
      </c>
      <c r="F316" s="4"/>
      <c r="G316" s="4" t="s">
        <v>1665</v>
      </c>
      <c r="H316" s="4" t="s">
        <v>26</v>
      </c>
      <c r="I316" s="4" t="str">
        <f>"45750"</f>
        <v>45750</v>
      </c>
      <c r="J316" s="4" t="s">
        <v>1282</v>
      </c>
      <c r="K316" s="4" t="str">
        <f>"(P) 740-336-5860 (M) 484-955-8025"</f>
        <v>(P) 740-336-5860 (M) 484-955-8025</v>
      </c>
      <c r="L316" s="4" t="s">
        <v>1666</v>
      </c>
      <c r="M316" s="4" t="s">
        <v>1661</v>
      </c>
      <c r="N316" s="4" t="s">
        <v>1664</v>
      </c>
      <c r="O316" s="4"/>
      <c r="P316" s="4" t="s">
        <v>1665</v>
      </c>
      <c r="Q316" s="4" t="s">
        <v>26</v>
      </c>
      <c r="R316" s="4" t="str">
        <f>"45750"</f>
        <v>45750</v>
      </c>
      <c r="S316" s="4" t="s">
        <v>1282</v>
      </c>
      <c r="T316" s="6">
        <v>44196</v>
      </c>
      <c r="U316" s="4" t="s">
        <v>29</v>
      </c>
    </row>
    <row r="317" spans="1:21" s="3" customFormat="1" ht="28.8" x14ac:dyDescent="0.3">
      <c r="A317" s="4" t="str">
        <f>"CB000QQX"</f>
        <v>CB000QQX</v>
      </c>
      <c r="B317" s="4" t="s">
        <v>1357</v>
      </c>
      <c r="C317" s="4" t="s">
        <v>1138</v>
      </c>
      <c r="D317" s="4" t="s">
        <v>1358</v>
      </c>
      <c r="E317" s="4" t="s">
        <v>1359</v>
      </c>
      <c r="F317" s="4"/>
      <c r="G317" s="4" t="s">
        <v>1360</v>
      </c>
      <c r="H317" s="4" t="s">
        <v>65</v>
      </c>
      <c r="I317" s="4" t="str">
        <f>"60448"</f>
        <v>60448</v>
      </c>
      <c r="J317" s="4" t="s">
        <v>1361</v>
      </c>
      <c r="K317" s="4" t="str">
        <f>"(P) 815-485-8266 (F) 708-298-8816"</f>
        <v>(P) 815-485-8266 (F) 708-298-8816</v>
      </c>
      <c r="L317" s="4" t="s">
        <v>1362</v>
      </c>
      <c r="M317" s="4" t="s">
        <v>1357</v>
      </c>
      <c r="N317" s="4" t="s">
        <v>1363</v>
      </c>
      <c r="O317" s="4"/>
      <c r="P317" s="4" t="s">
        <v>1360</v>
      </c>
      <c r="Q317" s="4" t="s">
        <v>65</v>
      </c>
      <c r="R317" s="4" t="str">
        <f>"60448"</f>
        <v>60448</v>
      </c>
      <c r="S317" s="4" t="s">
        <v>1361</v>
      </c>
      <c r="T317" s="6">
        <v>44196</v>
      </c>
      <c r="U317" s="4" t="s">
        <v>29</v>
      </c>
    </row>
    <row r="318" spans="1:21" s="3" customFormat="1" ht="28.8" x14ac:dyDescent="0.3">
      <c r="A318" s="4" t="str">
        <f>"CB000KG0"</f>
        <v>CB000KG0</v>
      </c>
      <c r="B318" s="4" t="s">
        <v>1094</v>
      </c>
      <c r="C318" s="4" t="s">
        <v>1095</v>
      </c>
      <c r="D318" s="4" t="s">
        <v>1096</v>
      </c>
      <c r="E318" s="4" t="s">
        <v>1097</v>
      </c>
      <c r="F318" s="4"/>
      <c r="G318" s="4" t="s">
        <v>716</v>
      </c>
      <c r="H318" s="4" t="s">
        <v>26</v>
      </c>
      <c r="I318" s="4" t="str">
        <f>"44266"</f>
        <v>44266</v>
      </c>
      <c r="J318" s="4" t="s">
        <v>243</v>
      </c>
      <c r="K318" s="4" t="str">
        <f>"(P) 330-297-9657 (M) 330-732-7008"</f>
        <v>(P) 330-297-9657 (M) 330-732-7008</v>
      </c>
      <c r="L318" s="4"/>
      <c r="M318" s="4" t="s">
        <v>1094</v>
      </c>
      <c r="N318" s="4" t="s">
        <v>1097</v>
      </c>
      <c r="O318" s="4"/>
      <c r="P318" s="4" t="s">
        <v>716</v>
      </c>
      <c r="Q318" s="4" t="s">
        <v>26</v>
      </c>
      <c r="R318" s="4" t="str">
        <f>"44266"</f>
        <v>44266</v>
      </c>
      <c r="S318" s="4" t="s">
        <v>243</v>
      </c>
      <c r="T318" s="6">
        <v>44196</v>
      </c>
      <c r="U318" s="4" t="s">
        <v>29</v>
      </c>
    </row>
    <row r="319" spans="1:21" s="3" customFormat="1" ht="28.8" x14ac:dyDescent="0.3">
      <c r="A319" s="4" t="str">
        <f>"CB000KHY"</f>
        <v>CB000KHY</v>
      </c>
      <c r="B319" s="4" t="s">
        <v>1098</v>
      </c>
      <c r="C319" s="4" t="s">
        <v>1099</v>
      </c>
      <c r="D319" s="4" t="s">
        <v>1100</v>
      </c>
      <c r="E319" s="4" t="s">
        <v>1101</v>
      </c>
      <c r="F319" s="4"/>
      <c r="G319" s="4" t="s">
        <v>862</v>
      </c>
      <c r="H319" s="4" t="s">
        <v>26</v>
      </c>
      <c r="I319" s="4" t="str">
        <f>"44312"</f>
        <v>44312</v>
      </c>
      <c r="J319" s="4" t="s">
        <v>217</v>
      </c>
      <c r="K319" s="4" t="str">
        <f>"(P) 234-571-9014 (M) 330-806-6401"</f>
        <v>(P) 234-571-9014 (M) 330-806-6401</v>
      </c>
      <c r="L319" s="4" t="s">
        <v>1102</v>
      </c>
      <c r="M319" s="4" t="s">
        <v>1098</v>
      </c>
      <c r="N319" s="4" t="s">
        <v>1101</v>
      </c>
      <c r="O319" s="4"/>
      <c r="P319" s="4" t="s">
        <v>862</v>
      </c>
      <c r="Q319" s="4" t="s">
        <v>26</v>
      </c>
      <c r="R319" s="4" t="str">
        <f>"44312"</f>
        <v>44312</v>
      </c>
      <c r="S319" s="4" t="s">
        <v>217</v>
      </c>
      <c r="T319" s="6">
        <v>44196</v>
      </c>
      <c r="U319" s="4" t="s">
        <v>29</v>
      </c>
    </row>
    <row r="320" spans="1:21" s="3" customFormat="1" x14ac:dyDescent="0.3">
      <c r="A320" s="4" t="str">
        <f>"CB001HUA"</f>
        <v>CB001HUA</v>
      </c>
      <c r="B320" s="4" t="s">
        <v>1768</v>
      </c>
      <c r="C320" s="4" t="s">
        <v>206</v>
      </c>
      <c r="D320" s="4" t="s">
        <v>1769</v>
      </c>
      <c r="E320" s="4" t="s">
        <v>1770</v>
      </c>
      <c r="F320" s="4"/>
      <c r="G320" s="4" t="s">
        <v>1771</v>
      </c>
      <c r="H320" s="4" t="s">
        <v>26</v>
      </c>
      <c r="I320" s="4" t="str">
        <f>"45325"</f>
        <v>45325</v>
      </c>
      <c r="J320" s="4" t="s">
        <v>58</v>
      </c>
      <c r="K320" s="4" t="str">
        <f>"(P) 937-271-4574"</f>
        <v>(P) 937-271-4574</v>
      </c>
      <c r="L320" s="4" t="s">
        <v>1772</v>
      </c>
      <c r="M320" s="4" t="s">
        <v>1773</v>
      </c>
      <c r="N320" s="4" t="s">
        <v>1770</v>
      </c>
      <c r="O320" s="4"/>
      <c r="P320" s="4" t="s">
        <v>1771</v>
      </c>
      <c r="Q320" s="4" t="s">
        <v>26</v>
      </c>
      <c r="R320" s="4" t="str">
        <f>"45325"</f>
        <v>45325</v>
      </c>
      <c r="S320" s="4" t="s">
        <v>58</v>
      </c>
      <c r="T320" s="6">
        <v>44196</v>
      </c>
      <c r="U320" s="4" t="s">
        <v>29</v>
      </c>
    </row>
    <row r="321" spans="1:21" s="3" customFormat="1" x14ac:dyDescent="0.3">
      <c r="A321" s="4" t="str">
        <f>"CB001BKK"</f>
        <v>CB001BKK</v>
      </c>
      <c r="B321" s="4" t="s">
        <v>1648</v>
      </c>
      <c r="C321" s="4" t="s">
        <v>1649</v>
      </c>
      <c r="D321" s="4" t="s">
        <v>1650</v>
      </c>
      <c r="E321" s="4" t="s">
        <v>1651</v>
      </c>
      <c r="F321" s="4"/>
      <c r="G321" s="4" t="s">
        <v>1652</v>
      </c>
      <c r="H321" s="4" t="s">
        <v>26</v>
      </c>
      <c r="I321" s="4" t="str">
        <f>"45661"</f>
        <v>45661</v>
      </c>
      <c r="J321" s="4" t="s">
        <v>1653</v>
      </c>
      <c r="K321" s="4" t="str">
        <f>"(P) 614-975-9351"</f>
        <v>(P) 614-975-9351</v>
      </c>
      <c r="L321" s="4" t="s">
        <v>1654</v>
      </c>
      <c r="M321" s="4" t="s">
        <v>1648</v>
      </c>
      <c r="N321" s="4" t="s">
        <v>1651</v>
      </c>
      <c r="O321" s="4"/>
      <c r="P321" s="4" t="s">
        <v>1652</v>
      </c>
      <c r="Q321" s="4" t="s">
        <v>26</v>
      </c>
      <c r="R321" s="4" t="str">
        <f>"45661"</f>
        <v>45661</v>
      </c>
      <c r="S321" s="4" t="s">
        <v>1653</v>
      </c>
      <c r="T321" s="6">
        <v>44196</v>
      </c>
      <c r="U321" s="4" t="s">
        <v>29</v>
      </c>
    </row>
    <row r="322" spans="1:21" s="3" customFormat="1" x14ac:dyDescent="0.3">
      <c r="A322" s="4" t="str">
        <f>"CB000KKU"</f>
        <v>CB000KKU</v>
      </c>
      <c r="B322" s="4" t="s">
        <v>1103</v>
      </c>
      <c r="C322" s="4" t="s">
        <v>1104</v>
      </c>
      <c r="D322" s="4" t="s">
        <v>1105</v>
      </c>
      <c r="E322" s="4" t="s">
        <v>1106</v>
      </c>
      <c r="F322" s="4"/>
      <c r="G322" s="4" t="s">
        <v>253</v>
      </c>
      <c r="H322" s="4" t="s">
        <v>26</v>
      </c>
      <c r="I322" s="4" t="str">
        <f>"43221"</f>
        <v>43221</v>
      </c>
      <c r="J322" s="4" t="s">
        <v>210</v>
      </c>
      <c r="K322" s="4" t="str">
        <f>"(M) 614-579-8421"</f>
        <v>(M) 614-579-8421</v>
      </c>
      <c r="L322" s="4" t="s">
        <v>1107</v>
      </c>
      <c r="M322" s="4" t="s">
        <v>1103</v>
      </c>
      <c r="N322" s="4" t="s">
        <v>1108</v>
      </c>
      <c r="O322" s="4"/>
      <c r="P322" s="4" t="s">
        <v>1109</v>
      </c>
      <c r="Q322" s="4" t="s">
        <v>26</v>
      </c>
      <c r="R322" s="4" t="str">
        <f>"43220"</f>
        <v>43220</v>
      </c>
      <c r="S322" s="4" t="s">
        <v>210</v>
      </c>
      <c r="T322" s="6">
        <v>44196</v>
      </c>
      <c r="U322" s="4" t="s">
        <v>29</v>
      </c>
    </row>
    <row r="323" spans="1:21" s="3" customFormat="1" x14ac:dyDescent="0.3">
      <c r="A323" s="4" t="str">
        <f>"CB000DPB"</f>
        <v>CB000DPB</v>
      </c>
      <c r="B323" s="4"/>
      <c r="C323" s="4" t="s">
        <v>508</v>
      </c>
      <c r="D323" s="4" t="s">
        <v>509</v>
      </c>
      <c r="E323" s="4" t="s">
        <v>510</v>
      </c>
      <c r="F323" s="4"/>
      <c r="G323" s="4" t="s">
        <v>511</v>
      </c>
      <c r="H323" s="4" t="s">
        <v>26</v>
      </c>
      <c r="I323" s="4" t="str">
        <f>"43105"</f>
        <v>43105</v>
      </c>
      <c r="J323" s="4" t="s">
        <v>512</v>
      </c>
      <c r="K323" s="4" t="str">
        <f>"(M) 740-407-5546"</f>
        <v>(M) 740-407-5546</v>
      </c>
      <c r="L323" s="4" t="s">
        <v>513</v>
      </c>
      <c r="M323" s="4" t="s">
        <v>514</v>
      </c>
      <c r="N323" s="4" t="s">
        <v>510</v>
      </c>
      <c r="O323" s="4"/>
      <c r="P323" s="4" t="s">
        <v>511</v>
      </c>
      <c r="Q323" s="4" t="s">
        <v>26</v>
      </c>
      <c r="R323" s="4" t="str">
        <f>"43105"</f>
        <v>43105</v>
      </c>
      <c r="S323" s="4" t="s">
        <v>512</v>
      </c>
      <c r="T323" s="6">
        <v>44196</v>
      </c>
      <c r="U323" s="4" t="s">
        <v>29</v>
      </c>
    </row>
    <row r="324" spans="1:21" s="3" customFormat="1" ht="28.8" x14ac:dyDescent="0.3">
      <c r="A324" s="4" t="str">
        <f>"CB000EJH"</f>
        <v>CB000EJH</v>
      </c>
      <c r="B324" s="4"/>
      <c r="C324" s="4" t="s">
        <v>598</v>
      </c>
      <c r="D324" s="4" t="s">
        <v>599</v>
      </c>
      <c r="E324" s="4" t="s">
        <v>600</v>
      </c>
      <c r="F324" s="4"/>
      <c r="G324" s="4" t="s">
        <v>601</v>
      </c>
      <c r="H324" s="4" t="s">
        <v>26</v>
      </c>
      <c r="I324" s="4" t="str">
        <f>"44484"</f>
        <v>44484</v>
      </c>
      <c r="J324" s="4" t="s">
        <v>602</v>
      </c>
      <c r="K324" s="4" t="str">
        <f>"(P) 330-647-3892 (M) 330-647-3892"</f>
        <v>(P) 330-647-3892 (M) 330-647-3892</v>
      </c>
      <c r="L324" s="4" t="s">
        <v>603</v>
      </c>
      <c r="M324" s="4" t="s">
        <v>604</v>
      </c>
      <c r="N324" s="4" t="s">
        <v>600</v>
      </c>
      <c r="O324" s="4"/>
      <c r="P324" s="4" t="s">
        <v>601</v>
      </c>
      <c r="Q324" s="4" t="s">
        <v>26</v>
      </c>
      <c r="R324" s="4" t="str">
        <f>"44484"</f>
        <v>44484</v>
      </c>
      <c r="S324" s="4" t="s">
        <v>602</v>
      </c>
      <c r="T324" s="6">
        <v>44196</v>
      </c>
      <c r="U324" s="4" t="s">
        <v>29</v>
      </c>
    </row>
    <row r="325" spans="1:21" s="3" customFormat="1" x14ac:dyDescent="0.3">
      <c r="A325" s="4" t="str">
        <f>"CB000S20"</f>
        <v>CB000S20</v>
      </c>
      <c r="B325" s="4"/>
      <c r="C325" s="4" t="s">
        <v>1386</v>
      </c>
      <c r="D325" s="4" t="s">
        <v>1387</v>
      </c>
      <c r="E325" s="4" t="s">
        <v>1388</v>
      </c>
      <c r="F325" s="4"/>
      <c r="G325" s="4" t="s">
        <v>1389</v>
      </c>
      <c r="H325" s="4" t="s">
        <v>26</v>
      </c>
      <c r="I325" s="4" t="str">
        <f>"44846"</f>
        <v>44846</v>
      </c>
      <c r="J325" s="4" t="s">
        <v>193</v>
      </c>
      <c r="K325" s="4" t="str">
        <f>"(P) 419-499-2667"</f>
        <v>(P) 419-499-2667</v>
      </c>
      <c r="L325" s="4" t="s">
        <v>1390</v>
      </c>
      <c r="M325" s="4" t="s">
        <v>1391</v>
      </c>
      <c r="N325" s="4" t="s">
        <v>1392</v>
      </c>
      <c r="O325" s="4"/>
      <c r="P325" s="4" t="s">
        <v>1389</v>
      </c>
      <c r="Q325" s="4" t="s">
        <v>26</v>
      </c>
      <c r="R325" s="4" t="str">
        <f>"44846"</f>
        <v>44846</v>
      </c>
      <c r="S325" s="4" t="s">
        <v>193</v>
      </c>
      <c r="T325" s="6">
        <v>44196</v>
      </c>
      <c r="U325" s="4" t="s">
        <v>29</v>
      </c>
    </row>
  </sheetData>
  <sortState ref="A2:AX325">
    <sortCondition ref="B2:B325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DataToExcel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Heidi</dc:creator>
  <cp:lastModifiedBy>Kellie DiFrischia</cp:lastModifiedBy>
  <dcterms:created xsi:type="dcterms:W3CDTF">2020-02-19T20:25:55Z</dcterms:created>
  <dcterms:modified xsi:type="dcterms:W3CDTF">2020-04-09T15:20:05Z</dcterms:modified>
</cp:coreProperties>
</file>